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" sheetId="1" r:id="rId1"/>
  </sheets>
  <calcPr calcId="162913" fullPrecision="0"/>
</workbook>
</file>

<file path=xl/calcChain.xml><?xml version="1.0" encoding="utf-8"?>
<calcChain xmlns="http://schemas.openxmlformats.org/spreadsheetml/2006/main">
  <c r="L99" i="1" l="1"/>
  <c r="L98" i="1"/>
  <c r="L93" i="1"/>
  <c r="L92" i="1"/>
  <c r="L91" i="1"/>
  <c r="L90" i="1"/>
  <c r="M63" i="1"/>
  <c r="M62" i="1"/>
  <c r="P93" i="1"/>
  <c r="O93" i="1"/>
  <c r="N93" i="1"/>
  <c r="M93" i="1"/>
  <c r="P91" i="1"/>
  <c r="O91" i="1"/>
  <c r="N91" i="1"/>
  <c r="M91" i="1"/>
  <c r="P89" i="1"/>
  <c r="O89" i="1"/>
  <c r="N89" i="1"/>
  <c r="M89" i="1"/>
  <c r="P87" i="1"/>
  <c r="O87" i="1"/>
  <c r="N87" i="1"/>
  <c r="M87" i="1"/>
  <c r="L87" i="1"/>
  <c r="P85" i="1"/>
  <c r="O85" i="1"/>
  <c r="N85" i="1"/>
  <c r="M85" i="1"/>
  <c r="L85" i="1"/>
  <c r="P83" i="1"/>
  <c r="O83" i="1"/>
  <c r="N83" i="1"/>
  <c r="M83" i="1"/>
  <c r="L83" i="1"/>
  <c r="P81" i="1"/>
  <c r="O81" i="1"/>
  <c r="N81" i="1"/>
  <c r="M81" i="1"/>
  <c r="P79" i="1"/>
  <c r="O79" i="1"/>
  <c r="N79" i="1"/>
  <c r="M79" i="1"/>
  <c r="P77" i="1"/>
  <c r="O77" i="1"/>
  <c r="N77" i="1"/>
  <c r="M77" i="1"/>
  <c r="P75" i="1"/>
  <c r="O75" i="1"/>
  <c r="N75" i="1"/>
  <c r="M75" i="1"/>
  <c r="L75" i="1"/>
  <c r="P73" i="1"/>
  <c r="O73" i="1"/>
  <c r="N73" i="1"/>
  <c r="M73" i="1"/>
  <c r="L73" i="1"/>
  <c r="P71" i="1"/>
  <c r="O71" i="1"/>
  <c r="N71" i="1"/>
  <c r="M71" i="1"/>
  <c r="L71" i="1"/>
  <c r="P120" i="1"/>
  <c r="O120" i="1"/>
  <c r="N120" i="1"/>
  <c r="M120" i="1"/>
  <c r="P119" i="1"/>
  <c r="O119" i="1"/>
  <c r="N119" i="1"/>
  <c r="M119" i="1"/>
  <c r="P118" i="1"/>
  <c r="O118" i="1"/>
  <c r="N118" i="1"/>
  <c r="M118" i="1"/>
  <c r="L118" i="1"/>
  <c r="P117" i="1"/>
  <c r="O117" i="1"/>
  <c r="N117" i="1"/>
  <c r="M117" i="1"/>
  <c r="L117" i="1"/>
  <c r="P116" i="1"/>
  <c r="O116" i="1"/>
  <c r="N116" i="1"/>
  <c r="M116" i="1"/>
  <c r="L116" i="1"/>
  <c r="P115" i="1"/>
  <c r="O115" i="1"/>
  <c r="N115" i="1"/>
  <c r="M115" i="1"/>
  <c r="L115" i="1"/>
  <c r="P112" i="1"/>
  <c r="O112" i="1"/>
  <c r="N112" i="1"/>
  <c r="M112" i="1"/>
  <c r="L112" i="1"/>
  <c r="P111" i="1"/>
  <c r="O111" i="1"/>
  <c r="N111" i="1"/>
  <c r="M111" i="1"/>
  <c r="L111" i="1"/>
  <c r="P110" i="1"/>
  <c r="O110" i="1"/>
  <c r="N110" i="1"/>
  <c r="M110" i="1"/>
  <c r="L110" i="1"/>
  <c r="P109" i="1"/>
  <c r="M109" i="1"/>
  <c r="P108" i="1"/>
  <c r="O108" i="1"/>
  <c r="N108" i="1"/>
  <c r="M108" i="1"/>
  <c r="L108" i="1"/>
  <c r="P107" i="1"/>
  <c r="O107" i="1"/>
  <c r="N107" i="1"/>
  <c r="M107" i="1"/>
  <c r="L107" i="1"/>
  <c r="P106" i="1"/>
  <c r="O106" i="1"/>
  <c r="N106" i="1"/>
  <c r="M106" i="1"/>
  <c r="L106" i="1"/>
  <c r="P105" i="1"/>
  <c r="O105" i="1"/>
  <c r="N105" i="1"/>
  <c r="P104" i="1"/>
  <c r="O104" i="1"/>
  <c r="P103" i="1"/>
  <c r="P102" i="1"/>
  <c r="O102" i="1"/>
  <c r="N102" i="1"/>
  <c r="M102" i="1"/>
  <c r="P101" i="1"/>
  <c r="O101" i="1"/>
  <c r="N101" i="1"/>
  <c r="M101" i="1"/>
  <c r="P100" i="1"/>
  <c r="O100" i="1"/>
  <c r="N100" i="1"/>
  <c r="P99" i="1"/>
  <c r="O99" i="1"/>
  <c r="N99" i="1"/>
  <c r="M99" i="1"/>
  <c r="P98" i="1"/>
  <c r="O98" i="1"/>
  <c r="N98" i="1"/>
  <c r="M98" i="1"/>
  <c r="P96" i="1"/>
  <c r="O96" i="1"/>
  <c r="N96" i="1"/>
  <c r="M96" i="1"/>
  <c r="L96" i="1"/>
  <c r="P95" i="1"/>
  <c r="O95" i="1"/>
  <c r="N95" i="1"/>
  <c r="M95" i="1"/>
  <c r="L95" i="1"/>
  <c r="P94" i="1"/>
  <c r="O94" i="1"/>
  <c r="N94" i="1"/>
  <c r="M94" i="1"/>
  <c r="L94" i="1"/>
  <c r="P92" i="1"/>
  <c r="O92" i="1"/>
  <c r="N92" i="1"/>
  <c r="M92" i="1"/>
  <c r="P90" i="1"/>
  <c r="O90" i="1"/>
  <c r="N90" i="1"/>
  <c r="M90" i="1"/>
  <c r="P88" i="1"/>
  <c r="O88" i="1"/>
  <c r="N88" i="1"/>
  <c r="M88" i="1"/>
  <c r="P86" i="1"/>
  <c r="O86" i="1"/>
  <c r="N86" i="1"/>
  <c r="M86" i="1"/>
  <c r="L86" i="1"/>
  <c r="P84" i="1"/>
  <c r="O84" i="1"/>
  <c r="N84" i="1"/>
  <c r="M84" i="1"/>
  <c r="L84" i="1"/>
  <c r="P82" i="1"/>
  <c r="O82" i="1"/>
  <c r="N82" i="1"/>
  <c r="M82" i="1"/>
  <c r="L82" i="1"/>
  <c r="P80" i="1"/>
  <c r="O80" i="1"/>
  <c r="N80" i="1"/>
  <c r="M80" i="1"/>
  <c r="P78" i="1"/>
  <c r="O78" i="1"/>
  <c r="N78" i="1"/>
  <c r="M78" i="1"/>
  <c r="P76" i="1"/>
  <c r="O76" i="1"/>
  <c r="N76" i="1"/>
  <c r="M76" i="1"/>
  <c r="P74" i="1"/>
  <c r="O74" i="1"/>
  <c r="N74" i="1"/>
  <c r="M74" i="1"/>
  <c r="L74" i="1"/>
  <c r="P72" i="1"/>
  <c r="O72" i="1"/>
  <c r="N72" i="1"/>
  <c r="M72" i="1"/>
  <c r="L72" i="1"/>
  <c r="P70" i="1"/>
  <c r="O70" i="1"/>
  <c r="N70" i="1"/>
  <c r="M70" i="1"/>
  <c r="L70" i="1"/>
  <c r="P66" i="1"/>
  <c r="O66" i="1"/>
  <c r="N66" i="1"/>
  <c r="M66" i="1"/>
  <c r="P65" i="1"/>
  <c r="O65" i="1"/>
  <c r="N65" i="1"/>
  <c r="M65" i="1"/>
  <c r="P64" i="1"/>
  <c r="O64" i="1"/>
  <c r="N64" i="1"/>
  <c r="M64" i="1"/>
  <c r="P63" i="1"/>
  <c r="O63" i="1"/>
  <c r="N63" i="1"/>
  <c r="P62" i="1"/>
  <c r="O62" i="1"/>
  <c r="N62" i="1"/>
  <c r="P61" i="1"/>
  <c r="O61" i="1"/>
  <c r="N61" i="1"/>
  <c r="M61" i="1"/>
  <c r="P60" i="1"/>
  <c r="O60" i="1"/>
  <c r="N60" i="1"/>
  <c r="M60" i="1"/>
  <c r="P59" i="1"/>
  <c r="O59" i="1"/>
  <c r="N59" i="1"/>
  <c r="M59" i="1"/>
  <c r="P58" i="1"/>
  <c r="O58" i="1"/>
  <c r="N58" i="1"/>
  <c r="M58" i="1"/>
  <c r="P57" i="1"/>
  <c r="O57" i="1"/>
  <c r="N57" i="1"/>
  <c r="M57" i="1"/>
  <c r="P56" i="1"/>
  <c r="O56" i="1"/>
  <c r="N56" i="1"/>
  <c r="M56" i="1"/>
  <c r="P55" i="1"/>
  <c r="O55" i="1"/>
  <c r="N55" i="1"/>
  <c r="P54" i="1"/>
  <c r="O54" i="1"/>
  <c r="N54" i="1"/>
  <c r="M54" i="1"/>
  <c r="P53" i="1"/>
  <c r="O53" i="1"/>
  <c r="N53" i="1"/>
  <c r="M53" i="1"/>
  <c r="P52" i="1"/>
  <c r="O52" i="1"/>
  <c r="N52" i="1"/>
  <c r="M52" i="1"/>
  <c r="P34" i="1"/>
  <c r="O34" i="1"/>
  <c r="N34" i="1"/>
  <c r="P32" i="1"/>
  <c r="O32" i="1"/>
  <c r="N32" i="1"/>
  <c r="P30" i="1"/>
  <c r="O30" i="1"/>
  <c r="N30" i="1"/>
  <c r="P28" i="1"/>
  <c r="O28" i="1"/>
  <c r="N28" i="1"/>
  <c r="P26" i="1"/>
  <c r="O26" i="1"/>
  <c r="N26" i="1"/>
  <c r="P24" i="1"/>
  <c r="O24" i="1"/>
  <c r="N24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37" i="1"/>
  <c r="O37" i="1"/>
  <c r="N37" i="1"/>
  <c r="P36" i="1"/>
  <c r="O36" i="1"/>
  <c r="N36" i="1"/>
  <c r="P35" i="1"/>
  <c r="O35" i="1"/>
  <c r="N35" i="1"/>
  <c r="P33" i="1"/>
  <c r="O33" i="1"/>
  <c r="N33" i="1"/>
  <c r="P31" i="1"/>
  <c r="O31" i="1"/>
  <c r="N31" i="1"/>
  <c r="P29" i="1"/>
  <c r="O29" i="1"/>
  <c r="N29" i="1"/>
  <c r="P27" i="1"/>
  <c r="O27" i="1"/>
  <c r="N27" i="1"/>
  <c r="P25" i="1"/>
  <c r="O25" i="1"/>
  <c r="N25" i="1"/>
  <c r="P23" i="1"/>
  <c r="O23" i="1"/>
  <c r="N23" i="1"/>
  <c r="P22" i="1"/>
  <c r="O22" i="1"/>
  <c r="M22" i="1"/>
  <c r="L22" i="1"/>
  <c r="K22" i="1"/>
  <c r="J22" i="1"/>
  <c r="I22" i="1"/>
  <c r="H22" i="1"/>
  <c r="G22" i="1"/>
  <c r="F22" i="1"/>
  <c r="E22" i="1"/>
  <c r="D22" i="1"/>
  <c r="C22" i="1"/>
  <c r="B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P16" i="1"/>
  <c r="O16" i="1"/>
  <c r="N16" i="1"/>
  <c r="P15" i="1"/>
  <c r="O15" i="1"/>
  <c r="N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P13" i="1"/>
  <c r="O13" i="1"/>
  <c r="N13" i="1"/>
  <c r="P12" i="1"/>
  <c r="O12" i="1"/>
  <c r="N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P10" i="1"/>
  <c r="O10" i="1"/>
  <c r="N10" i="1"/>
  <c r="P9" i="1"/>
  <c r="O9" i="1"/>
  <c r="N9" i="1"/>
  <c r="L8" i="1"/>
  <c r="K8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<sst xmlns="http://schemas.openxmlformats.org/spreadsheetml/2006/main" count="135" uniqueCount="135">
  <si>
    <t>Труба 1м</t>
  </si>
  <si>
    <t>Труба 0,5м</t>
  </si>
  <si>
    <t>Труба 0,3м</t>
  </si>
  <si>
    <t>Грибок</t>
  </si>
  <si>
    <t>Грибок термо</t>
  </si>
  <si>
    <t>Волпер</t>
  </si>
  <si>
    <t>Труба 1м, 08 мм</t>
  </si>
  <si>
    <t>Труба 1м, 1мм</t>
  </si>
  <si>
    <t>Труба 05 м, 08 мм</t>
  </si>
  <si>
    <t>Труба 05 м, 1 мм</t>
  </si>
  <si>
    <t>Труба 0,3 м, 08 мм</t>
  </si>
  <si>
    <t>Труба 0,3 м, 1мм</t>
  </si>
  <si>
    <t>Кагла</t>
  </si>
  <si>
    <t>Кагла 08 мм</t>
  </si>
  <si>
    <t>Кагла 1мм</t>
  </si>
  <si>
    <t>Труба 1м к/к</t>
  </si>
  <si>
    <t>Труба 1м к/к 1мм</t>
  </si>
  <si>
    <t>Труба 1м к/оц</t>
  </si>
  <si>
    <t>Труба 1м к/оц 1мм</t>
  </si>
  <si>
    <t>Труба  0,5м к/к</t>
  </si>
  <si>
    <t>Труба  0,5м к/к 1мм</t>
  </si>
  <si>
    <t>Труба  0,5м к/оц</t>
  </si>
  <si>
    <t>Труба  0,5м к/оц 1мм</t>
  </si>
  <si>
    <t>Труба  0,3м к/к</t>
  </si>
  <si>
    <t>Труба  0,3м к/к 1мм</t>
  </si>
  <si>
    <t>Труба  0,3м к/оц</t>
  </si>
  <si>
    <t>Труба  0,3м к/оц 08 мм</t>
  </si>
  <si>
    <t>Труба  0,3м к/оц 1 мм</t>
  </si>
  <si>
    <t>Флюгер термо</t>
  </si>
  <si>
    <t>ф100|160</t>
  </si>
  <si>
    <t>ф110/180</t>
  </si>
  <si>
    <t>ф120/180</t>
  </si>
  <si>
    <t>ф130/200</t>
  </si>
  <si>
    <t>ф140/200</t>
  </si>
  <si>
    <t>ф150/220</t>
  </si>
  <si>
    <t>ф160/220</t>
  </si>
  <si>
    <t>ф180/250</t>
  </si>
  <si>
    <t>ф200/260</t>
  </si>
  <si>
    <t>ф230/300</t>
  </si>
  <si>
    <t>ф250/320</t>
  </si>
  <si>
    <t>ф300/360</t>
  </si>
  <si>
    <t>ф350/420</t>
  </si>
  <si>
    <t>ф400/460</t>
  </si>
  <si>
    <t>Конус термо к/к</t>
  </si>
  <si>
    <t>Конус термо к/оц</t>
  </si>
  <si>
    <t>Грибок 1мм</t>
  </si>
  <si>
    <t>Конус термо к/к 1мм</t>
  </si>
  <si>
    <t>Грибок термо 1мм</t>
  </si>
  <si>
    <t>Конус термо к/к 0,8мм</t>
  </si>
  <si>
    <t>Конус термо к/оц 0,8мм</t>
  </si>
  <si>
    <t>Конус термо к/оц 1мм</t>
  </si>
  <si>
    <t>Труба  0,3м к/к 0,8мм</t>
  </si>
  <si>
    <t>Труба  0,5м к/оц 0,8мм</t>
  </si>
  <si>
    <t>Труба 1м к/оц 0,8мм</t>
  </si>
  <si>
    <t>Труба  0,5м к/к 0,8мм</t>
  </si>
  <si>
    <t>Труба 1м к/к 0,8мм</t>
  </si>
  <si>
    <t xml:space="preserve">Тройник 87° 08 мм </t>
  </si>
  <si>
    <t>ф220/280</t>
  </si>
  <si>
    <t>AISI 304</t>
  </si>
  <si>
    <t>Діаметр, мм, товщина металу</t>
  </si>
  <si>
    <t>Елементи</t>
  </si>
  <si>
    <t xml:space="preserve">Ціни на труби та комплектуючі к димарям із нержавіючої AISI 304 сталі </t>
  </si>
  <si>
    <t>Коліно 90°</t>
  </si>
  <si>
    <t>Коліно 90°, 08 мм</t>
  </si>
  <si>
    <t>Коліно 90°, 1мм</t>
  </si>
  <si>
    <t>Коліно 45°</t>
  </si>
  <si>
    <t>Коліно 45°, 08 мм</t>
  </si>
  <si>
    <t>Коліно 45°, 1мм</t>
  </si>
  <si>
    <t xml:space="preserve">Трійник 87° </t>
  </si>
  <si>
    <t>Трійник 87° 1мм</t>
  </si>
  <si>
    <t xml:space="preserve">Трійник 45° </t>
  </si>
  <si>
    <t>Трійник 45° 08 мм</t>
  </si>
  <si>
    <t>Трійник 45° 1мм</t>
  </si>
  <si>
    <t>Ревізія</t>
  </si>
  <si>
    <t>Ревізія 08 мм</t>
  </si>
  <si>
    <t>Ревізія 1мм</t>
  </si>
  <si>
    <t>Флюгер димаря</t>
  </si>
  <si>
    <t>Перехідник 1мм</t>
  </si>
  <si>
    <t>Закінчення димаря. 1мм</t>
  </si>
  <si>
    <t xml:space="preserve">Ціни на труби та комплектуючі к димарям с термоізоляцією AISI 304 </t>
  </si>
  <si>
    <t>Діаметр  внурішній</t>
  </si>
  <si>
    <t>Трійник 87° к/к</t>
  </si>
  <si>
    <t>Трійник 87° к/к 0,8мм</t>
  </si>
  <si>
    <t>Трійник 87° к/к 1мм</t>
  </si>
  <si>
    <t>Трійник 87° к/оц</t>
  </si>
  <si>
    <t>Трійник 87° к/оц 0,8мм</t>
  </si>
  <si>
    <t>Трійник 87° к/к із ревіз</t>
  </si>
  <si>
    <t>Трійник 87° к/к 0,8мм із ревіз</t>
  </si>
  <si>
    <t>Трійник 87° к/к 1мм із ревіз</t>
  </si>
  <si>
    <t>Трійник 87° к/оц із ревіз</t>
  </si>
  <si>
    <t>Діаметр внутрішній</t>
  </si>
  <si>
    <t>Трійник 87° із ревіз</t>
  </si>
  <si>
    <t>Трійник 87° 08 мм із ревіз</t>
  </si>
  <si>
    <t>Трійник 87° 1мм із ревіз</t>
  </si>
  <si>
    <t>Трійник 45° із ревіз</t>
  </si>
  <si>
    <t>Трійник 45° 08 мм із ревіз</t>
  </si>
  <si>
    <t>Трійник 45° 1мм із ревіз</t>
  </si>
  <si>
    <t>Перехідник</t>
  </si>
  <si>
    <t>Перехідник 08 мм</t>
  </si>
  <si>
    <t>Трійник 87° к/оц 0,8мм із ревіз</t>
  </si>
  <si>
    <t>Трійник 87° к/оц 1мм</t>
  </si>
  <si>
    <t>Трійник 87° к/оц 1мм із ревіз</t>
  </si>
  <si>
    <t>Трійник 45° к/к</t>
  </si>
  <si>
    <t>Трійник 45° к/к із ревіз</t>
  </si>
  <si>
    <t>Трійник 45° к/к 0,8мм</t>
  </si>
  <si>
    <t>Трійник 45° к/к 0,8мм із ревіз</t>
  </si>
  <si>
    <t>Трійник 45° к/к 1мм</t>
  </si>
  <si>
    <t>Трійник 45° к/к 1мм із ревіз</t>
  </si>
  <si>
    <t>Трійник 45° к/оц</t>
  </si>
  <si>
    <t>Трійник 45° к/оц із ревіз</t>
  </si>
  <si>
    <t>Трійник 45° к/оц 08 мм</t>
  </si>
  <si>
    <t>Трійник 45° к/оц 08 мм із ревіз</t>
  </si>
  <si>
    <t>Трійник 45° к/оц 1мм</t>
  </si>
  <si>
    <t>Трійник 45° к/оц 1мм із ревіз</t>
  </si>
  <si>
    <r>
      <t>Коліно 90°</t>
    </r>
    <r>
      <rPr>
        <b/>
        <sz val="14"/>
        <color indexed="8"/>
        <rFont val="Calibri"/>
        <family val="2"/>
        <charset val="204"/>
      </rPr>
      <t xml:space="preserve"> к/к</t>
    </r>
  </si>
  <si>
    <t>Коліно 90° к/к 0,8мм</t>
  </si>
  <si>
    <t>Коліно 90° к/к 1мм</t>
  </si>
  <si>
    <r>
      <t>Коліно 90°</t>
    </r>
    <r>
      <rPr>
        <b/>
        <sz val="14"/>
        <color theme="0"/>
        <rFont val="Calibri"/>
        <family val="2"/>
        <charset val="204"/>
      </rPr>
      <t xml:space="preserve"> к/оц</t>
    </r>
  </si>
  <si>
    <t>Коліно 90° к/оц 0,8мм</t>
  </si>
  <si>
    <t>Коліно 90° к/оц 1 мм</t>
  </si>
  <si>
    <t>Коліно 45° к/к</t>
  </si>
  <si>
    <t>Коліно 45° к/к 0,8мм</t>
  </si>
  <si>
    <t>Коліно 45° к/к 1мм</t>
  </si>
  <si>
    <t>Коліно 45° к/оц</t>
  </si>
  <si>
    <t>Коліно 45° к/оц 0,8мм</t>
  </si>
  <si>
    <t>Коліно 45° к/оц 1мм</t>
  </si>
  <si>
    <t>Ревізія к/к</t>
  </si>
  <si>
    <t>Ревізія к/к 08 мм</t>
  </si>
  <si>
    <t>Ревізія к/к 1 мм</t>
  </si>
  <si>
    <t>Ревізія к/оц</t>
  </si>
  <si>
    <t>Ревізія к/оц 0,8мм</t>
  </si>
  <si>
    <t>Ревізія к/оц 1мм</t>
  </si>
  <si>
    <t>Закінчення термо 1мм</t>
  </si>
  <si>
    <t>Підставка разгр. Настін.</t>
  </si>
  <si>
    <t>Також виготовляємо різні елементи з нержавіючої сталі та оцинкованої сталі по індивідуальному
 замовленню клиєнта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</si>
</sst>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28"/>
      <name val="Arial"/>
      <family val="2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4"/>
      <color indexed="8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36"/>
      <name val="Arial"/>
      <family val="2"/>
      <charset val="204"/>
    </font>
    <font>
      <b/>
      <sz val="2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4"/>
      <color theme="0"/>
      <name val="Arial"/>
      <family val="2"/>
      <charset val="204"/>
    </font>
    <font>
      <sz val="14"/>
      <color theme="0"/>
      <name val="Arial"/>
      <family val="2"/>
      <charset val="204"/>
    </font>
    <font>
      <b/>
      <sz val="14"/>
      <color theme="0"/>
      <name val="Calibri"/>
      <family val="2"/>
      <charset val="204"/>
    </font>
    <font>
      <sz val="13"/>
      <color theme="0"/>
      <name val="Arial"/>
      <family val="2"/>
      <charset val="204"/>
    </font>
    <font>
      <sz val="13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Border="1" applyProtection="1">
      <protection hidden="1"/>
    </xf>
    <xf numFmtId="0" fontId="2" fillId="2" borderId="1" xfId="0" applyFont="1" applyFill="1" applyBorder="1" applyAlignment="1" applyProtection="1">
      <alignment horizontal="left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14" fillId="3" borderId="1" xfId="0" applyFont="1" applyFill="1" applyBorder="1" applyProtection="1">
      <protection hidden="1"/>
    </xf>
    <xf numFmtId="1" fontId="15" fillId="3" borderId="1" xfId="0" applyNumberFormat="1" applyFont="1" applyFill="1" applyBorder="1" applyProtection="1">
      <protection hidden="1"/>
    </xf>
    <xf numFmtId="0" fontId="4" fillId="0" borderId="1" xfId="0" applyFont="1" applyBorder="1" applyProtection="1">
      <protection hidden="1"/>
    </xf>
    <xf numFmtId="1" fontId="3" fillId="0" borderId="1" xfId="0" applyNumberFormat="1" applyFont="1" applyBorder="1" applyProtection="1">
      <protection hidden="1"/>
    </xf>
    <xf numFmtId="1" fontId="3" fillId="0" borderId="1" xfId="0" applyNumberFormat="1" applyFont="1" applyFill="1" applyBorder="1" applyProtection="1">
      <protection hidden="1"/>
    </xf>
    <xf numFmtId="0" fontId="4" fillId="4" borderId="1" xfId="0" applyFont="1" applyFill="1" applyBorder="1" applyProtection="1">
      <protection hidden="1"/>
    </xf>
    <xf numFmtId="1" fontId="3" fillId="4" borderId="1" xfId="0" applyNumberFormat="1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0" fontId="8" fillId="0" borderId="1" xfId="0" applyFont="1" applyBorder="1" applyProtection="1">
      <protection hidden="1"/>
    </xf>
    <xf numFmtId="1" fontId="5" fillId="0" borderId="1" xfId="0" applyNumberFormat="1" applyFont="1" applyBorder="1" applyProtection="1">
      <protection hidden="1"/>
    </xf>
    <xf numFmtId="0" fontId="5" fillId="0" borderId="0" xfId="0" applyNumberFormat="1" applyFont="1" applyFill="1" applyBorder="1" applyProtection="1">
      <protection hidden="1"/>
    </xf>
    <xf numFmtId="0" fontId="4" fillId="0" borderId="1" xfId="0" applyFont="1" applyFill="1" applyBorder="1" applyProtection="1">
      <protection hidden="1"/>
    </xf>
    <xf numFmtId="0" fontId="9" fillId="0" borderId="0" xfId="0" applyFont="1" applyProtection="1">
      <protection hidden="1"/>
    </xf>
    <xf numFmtId="9" fontId="14" fillId="3" borderId="1" xfId="1" applyFont="1" applyFill="1" applyBorder="1" applyProtection="1">
      <protection hidden="1"/>
    </xf>
    <xf numFmtId="0" fontId="8" fillId="0" borderId="2" xfId="0" applyFont="1" applyBorder="1" applyProtection="1">
      <protection hidden="1"/>
    </xf>
    <xf numFmtId="1" fontId="17" fillId="3" borderId="1" xfId="0" applyNumberFormat="1" applyFont="1" applyFill="1" applyBorder="1"/>
    <xf numFmtId="1" fontId="17" fillId="3" borderId="2" xfId="0" applyNumberFormat="1" applyFont="1" applyFill="1" applyBorder="1"/>
    <xf numFmtId="1" fontId="18" fillId="4" borderId="1" xfId="0" applyNumberFormat="1" applyFont="1" applyFill="1" applyBorder="1"/>
    <xf numFmtId="1" fontId="18" fillId="4" borderId="2" xfId="0" applyNumberFormat="1" applyFont="1" applyFill="1" applyBorder="1"/>
    <xf numFmtId="1" fontId="5" fillId="4" borderId="1" xfId="0" applyNumberFormat="1" applyFont="1" applyFill="1" applyBorder="1" applyProtection="1">
      <protection hidden="1"/>
    </xf>
    <xf numFmtId="1" fontId="19" fillId="4" borderId="1" xfId="0" applyNumberFormat="1" applyFont="1" applyFill="1" applyBorder="1" applyProtection="1">
      <protection hidden="1"/>
    </xf>
    <xf numFmtId="0" fontId="2" fillId="0" borderId="6" xfId="0" applyFont="1" applyFill="1" applyBorder="1" applyAlignment="1" applyProtection="1">
      <alignment horizontal="center" wrapText="1"/>
      <protection hidden="1"/>
    </xf>
    <xf numFmtId="0" fontId="2" fillId="0" borderId="7" xfId="0" applyFont="1" applyFill="1" applyBorder="1" applyAlignment="1" applyProtection="1">
      <alignment horizontal="center" wrapText="1"/>
      <protection hidden="1"/>
    </xf>
    <xf numFmtId="0" fontId="2" fillId="0" borderId="8" xfId="0" applyFont="1" applyFill="1" applyBorder="1" applyAlignment="1" applyProtection="1">
      <alignment horizont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3" borderId="4" xfId="0" applyFont="1" applyFill="1" applyBorder="1" applyAlignment="1" applyProtection="1">
      <alignment horizontal="center"/>
      <protection hidden="1"/>
    </xf>
    <xf numFmtId="0" fontId="13" fillId="3" borderId="5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0</xdr:rowOff>
    </xdr:from>
    <xdr:to>
      <xdr:col>15</xdr:col>
      <xdr:colOff>612321</xdr:colOff>
      <xdr:row>1</xdr:row>
      <xdr:rowOff>231321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81312" y="0"/>
          <a:ext cx="9232447" cy="10647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200" b="1" u="sng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3"/>
  <sheetViews>
    <sheetView tabSelected="1" topLeftCell="A109" zoomScale="80" zoomScaleNormal="80" workbookViewId="0">
      <selection activeCell="Q121" sqref="Q121"/>
    </sheetView>
  </sheetViews>
  <sheetFormatPr defaultRowHeight="15" x14ac:dyDescent="0.25"/>
  <cols>
    <col min="1" max="1" width="42.42578125" style="1" customWidth="1"/>
    <col min="2" max="2" width="11.140625" style="1" customWidth="1"/>
    <col min="3" max="3" width="10.42578125" style="1" customWidth="1"/>
    <col min="4" max="4" width="10.7109375" style="1" customWidth="1"/>
    <col min="5" max="5" width="10.5703125" style="1" customWidth="1"/>
    <col min="6" max="6" width="11.140625" style="1" customWidth="1"/>
    <col min="7" max="7" width="11.42578125" style="1" customWidth="1"/>
    <col min="8" max="8" width="10.7109375" style="1" customWidth="1"/>
    <col min="9" max="9" width="10.140625" style="1" customWidth="1"/>
    <col min="10" max="10" width="9.28515625" style="1" bestFit="1" customWidth="1"/>
    <col min="11" max="11" width="9.28515625" style="1" customWidth="1"/>
    <col min="12" max="16" width="9.28515625" style="1" bestFit="1" customWidth="1"/>
    <col min="17" max="17" width="39.85546875" style="1" bestFit="1" customWidth="1"/>
    <col min="18" max="16384" width="9.140625" style="1"/>
  </cols>
  <sheetData>
    <row r="1" spans="1:17" ht="65.25" customHeight="1" x14ac:dyDescent="0.25">
      <c r="A1" s="29" t="s">
        <v>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</row>
    <row r="2" spans="1:17" ht="18.75" customHeight="1" x14ac:dyDescent="0.25">
      <c r="A2" s="30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</row>
    <row r="3" spans="1:17" ht="18.75" customHeight="1" x14ac:dyDescent="0.25">
      <c r="A3" s="34" t="s">
        <v>60</v>
      </c>
      <c r="B3" s="45" t="s">
        <v>59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</row>
    <row r="4" spans="1:17" ht="15.75" customHeight="1" x14ac:dyDescent="0.25">
      <c r="A4" s="3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2"/>
    </row>
    <row r="5" spans="1:17" ht="15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  <c r="Q5" s="2"/>
    </row>
    <row r="6" spans="1:17" ht="15.75" x14ac:dyDescent="0.25">
      <c r="A6" s="39" t="s">
        <v>61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Q6" s="2"/>
    </row>
    <row r="7" spans="1:17" ht="15.75" x14ac:dyDescent="0.25">
      <c r="A7" s="3" t="s">
        <v>90</v>
      </c>
      <c r="B7" s="4">
        <v>100</v>
      </c>
      <c r="C7" s="4">
        <v>110</v>
      </c>
      <c r="D7" s="4">
        <v>120</v>
      </c>
      <c r="E7" s="4">
        <v>130</v>
      </c>
      <c r="F7" s="4">
        <v>140</v>
      </c>
      <c r="G7" s="4">
        <v>150</v>
      </c>
      <c r="H7" s="4">
        <v>160</v>
      </c>
      <c r="I7" s="4">
        <v>180</v>
      </c>
      <c r="J7" s="4">
        <v>200</v>
      </c>
      <c r="K7" s="4">
        <v>220</v>
      </c>
      <c r="L7" s="4">
        <v>230</v>
      </c>
      <c r="M7" s="4">
        <v>250</v>
      </c>
      <c r="N7" s="4">
        <v>300</v>
      </c>
      <c r="O7" s="4">
        <v>350</v>
      </c>
      <c r="P7" s="4">
        <v>400</v>
      </c>
      <c r="Q7" s="2"/>
    </row>
    <row r="8" spans="1:17" ht="18" x14ac:dyDescent="0.25">
      <c r="A8" s="5" t="s">
        <v>0</v>
      </c>
      <c r="B8" s="6">
        <f t="shared" ref="B8:L8" si="0">((B7*4.04)*1.1)*1.04</f>
        <v>462</v>
      </c>
      <c r="C8" s="6">
        <f t="shared" si="0"/>
        <v>508</v>
      </c>
      <c r="D8" s="6">
        <f t="shared" si="0"/>
        <v>555</v>
      </c>
      <c r="E8" s="6">
        <f t="shared" si="0"/>
        <v>601</v>
      </c>
      <c r="F8" s="6">
        <f t="shared" si="0"/>
        <v>647</v>
      </c>
      <c r="G8" s="6">
        <f t="shared" si="0"/>
        <v>693</v>
      </c>
      <c r="H8" s="6">
        <f t="shared" si="0"/>
        <v>739</v>
      </c>
      <c r="I8" s="6">
        <f t="shared" si="0"/>
        <v>832</v>
      </c>
      <c r="J8" s="6">
        <f t="shared" si="0"/>
        <v>924</v>
      </c>
      <c r="K8" s="6">
        <f t="shared" si="0"/>
        <v>1017</v>
      </c>
      <c r="L8" s="6">
        <f t="shared" si="0"/>
        <v>1063</v>
      </c>
      <c r="M8" s="6">
        <v>1155</v>
      </c>
      <c r="N8" s="6">
        <v>1938</v>
      </c>
      <c r="O8" s="6">
        <v>2210</v>
      </c>
      <c r="P8" s="6">
        <v>2495</v>
      </c>
      <c r="Q8" s="2"/>
    </row>
    <row r="9" spans="1:17" ht="18" x14ac:dyDescent="0.25">
      <c r="A9" s="7" t="s">
        <v>6</v>
      </c>
      <c r="B9" s="8">
        <v>697</v>
      </c>
      <c r="C9" s="8">
        <v>766</v>
      </c>
      <c r="D9" s="8">
        <v>836</v>
      </c>
      <c r="E9" s="8">
        <v>906</v>
      </c>
      <c r="F9" s="8">
        <v>976</v>
      </c>
      <c r="G9" s="8">
        <v>1045</v>
      </c>
      <c r="H9" s="8">
        <v>1114</v>
      </c>
      <c r="I9" s="8">
        <v>1254</v>
      </c>
      <c r="J9" s="8">
        <v>1394</v>
      </c>
      <c r="K9" s="8">
        <v>1533</v>
      </c>
      <c r="L9" s="8">
        <v>1603</v>
      </c>
      <c r="M9" s="8">
        <v>1742</v>
      </c>
      <c r="N9" s="8">
        <f>((2091+2091*0.05)*1.1)*1.04</f>
        <v>2512</v>
      </c>
      <c r="O9" s="8">
        <f>((2388+2388*0.05)*1.1)*1.04</f>
        <v>2868</v>
      </c>
      <c r="P9" s="8">
        <f>((2674+2674*0.05)*1.1)*1.04</f>
        <v>3212</v>
      </c>
      <c r="Q9" s="2"/>
    </row>
    <row r="10" spans="1:17" ht="18" x14ac:dyDescent="0.25">
      <c r="A10" s="5" t="s">
        <v>7</v>
      </c>
      <c r="B10" s="6">
        <v>856</v>
      </c>
      <c r="C10" s="6">
        <v>941</v>
      </c>
      <c r="D10" s="6">
        <v>1028</v>
      </c>
      <c r="E10" s="6">
        <v>1112</v>
      </c>
      <c r="F10" s="6">
        <v>1198</v>
      </c>
      <c r="G10" s="6">
        <v>1283</v>
      </c>
      <c r="H10" s="6">
        <v>1370</v>
      </c>
      <c r="I10" s="6">
        <v>1540</v>
      </c>
      <c r="J10" s="6">
        <v>1712</v>
      </c>
      <c r="K10" s="6">
        <v>1883</v>
      </c>
      <c r="L10" s="6">
        <v>1968</v>
      </c>
      <c r="M10" s="6">
        <v>2139</v>
      </c>
      <c r="N10" s="6">
        <f>((2541+2541*0.1)*1.1)*1.04</f>
        <v>3198</v>
      </c>
      <c r="O10" s="6">
        <f>((2897+2897*0.1)*1.1)*1.04</f>
        <v>3646</v>
      </c>
      <c r="P10" s="6">
        <f>((3276+3276*0.1)*1.1)*1.04</f>
        <v>4123</v>
      </c>
      <c r="Q10" s="2"/>
    </row>
    <row r="11" spans="1:17" ht="18" x14ac:dyDescent="0.25">
      <c r="A11" s="7" t="s">
        <v>1</v>
      </c>
      <c r="B11" s="9">
        <f t="shared" ref="B11:M11" si="1">((B7*2.12)*1.1)*1.04</f>
        <v>243</v>
      </c>
      <c r="C11" s="9">
        <f t="shared" si="1"/>
        <v>267</v>
      </c>
      <c r="D11" s="9">
        <f t="shared" si="1"/>
        <v>291</v>
      </c>
      <c r="E11" s="9">
        <f t="shared" si="1"/>
        <v>315</v>
      </c>
      <c r="F11" s="9">
        <f t="shared" si="1"/>
        <v>340</v>
      </c>
      <c r="G11" s="9">
        <f t="shared" si="1"/>
        <v>364</v>
      </c>
      <c r="H11" s="9">
        <f t="shared" si="1"/>
        <v>388</v>
      </c>
      <c r="I11" s="9">
        <f t="shared" si="1"/>
        <v>437</v>
      </c>
      <c r="J11" s="9">
        <f t="shared" si="1"/>
        <v>485</v>
      </c>
      <c r="K11" s="9">
        <f t="shared" si="1"/>
        <v>534</v>
      </c>
      <c r="L11" s="9">
        <f t="shared" si="1"/>
        <v>558</v>
      </c>
      <c r="M11" s="9">
        <f t="shared" si="1"/>
        <v>606</v>
      </c>
      <c r="N11" s="9">
        <f>((768+768*10%)*1.1)*1.04</f>
        <v>966</v>
      </c>
      <c r="O11" s="9">
        <f>((878+878*10%)*1.1)*1.04</f>
        <v>1105</v>
      </c>
      <c r="P11" s="9">
        <f>((988+988*10%)*1.1)*1.04</f>
        <v>1243</v>
      </c>
      <c r="Q11" s="2"/>
    </row>
    <row r="12" spans="1:17" ht="18" x14ac:dyDescent="0.25">
      <c r="A12" s="5" t="s">
        <v>8</v>
      </c>
      <c r="B12" s="6">
        <v>356</v>
      </c>
      <c r="C12" s="6">
        <v>391</v>
      </c>
      <c r="D12" s="6">
        <v>426</v>
      </c>
      <c r="E12" s="6">
        <v>462</v>
      </c>
      <c r="F12" s="6">
        <v>498</v>
      </c>
      <c r="G12" s="6">
        <v>535</v>
      </c>
      <c r="H12" s="6">
        <v>570</v>
      </c>
      <c r="I12" s="6">
        <v>641</v>
      </c>
      <c r="J12" s="6">
        <v>711</v>
      </c>
      <c r="K12" s="6">
        <v>782</v>
      </c>
      <c r="L12" s="6">
        <v>818</v>
      </c>
      <c r="M12" s="6">
        <v>890</v>
      </c>
      <c r="N12" s="6">
        <f>((945+945*0.05)*1.1)*1.04</f>
        <v>1135</v>
      </c>
      <c r="O12" s="6">
        <f>((1169+1169*0.05)*1.1)*1.04</f>
        <v>1404</v>
      </c>
      <c r="P12" s="6">
        <f>((1349+1349*0.05)*1.1)*1.04</f>
        <v>1620</v>
      </c>
      <c r="Q12" s="2"/>
    </row>
    <row r="13" spans="1:17" ht="18" x14ac:dyDescent="0.25">
      <c r="A13" s="7" t="s">
        <v>9</v>
      </c>
      <c r="B13" s="9">
        <v>441</v>
      </c>
      <c r="C13" s="9">
        <v>485</v>
      </c>
      <c r="D13" s="9">
        <v>528</v>
      </c>
      <c r="E13" s="9">
        <v>573</v>
      </c>
      <c r="F13" s="9">
        <v>617</v>
      </c>
      <c r="G13" s="9">
        <v>661</v>
      </c>
      <c r="H13" s="9">
        <v>705</v>
      </c>
      <c r="I13" s="9">
        <v>792</v>
      </c>
      <c r="J13" s="9">
        <v>881</v>
      </c>
      <c r="K13" s="9">
        <v>969</v>
      </c>
      <c r="L13" s="9">
        <v>1014</v>
      </c>
      <c r="M13" s="9">
        <v>1101</v>
      </c>
      <c r="N13" s="9">
        <f>((1265+1265*0.1)*1.1)*1.04</f>
        <v>1592</v>
      </c>
      <c r="O13" s="9">
        <f>((1449+1449*0.1)*1.1)*1.04</f>
        <v>1823</v>
      </c>
      <c r="P13" s="9">
        <f>((1635+1635*0.1)*1.1)*1.04</f>
        <v>2057</v>
      </c>
      <c r="Q13" s="2"/>
    </row>
    <row r="14" spans="1:17" ht="18" x14ac:dyDescent="0.25">
      <c r="A14" s="5" t="s">
        <v>2</v>
      </c>
      <c r="B14" s="6">
        <f t="shared" ref="B14:M14" si="2">((B7*1.31)*1.1)*1.04</f>
        <v>150</v>
      </c>
      <c r="C14" s="6">
        <f t="shared" si="2"/>
        <v>165</v>
      </c>
      <c r="D14" s="6">
        <f t="shared" si="2"/>
        <v>180</v>
      </c>
      <c r="E14" s="6">
        <f t="shared" si="2"/>
        <v>195</v>
      </c>
      <c r="F14" s="6">
        <f t="shared" si="2"/>
        <v>210</v>
      </c>
      <c r="G14" s="6">
        <f t="shared" si="2"/>
        <v>225</v>
      </c>
      <c r="H14" s="6">
        <f t="shared" si="2"/>
        <v>240</v>
      </c>
      <c r="I14" s="6">
        <f t="shared" si="2"/>
        <v>270</v>
      </c>
      <c r="J14" s="6">
        <f t="shared" si="2"/>
        <v>300</v>
      </c>
      <c r="K14" s="6">
        <f t="shared" si="2"/>
        <v>330</v>
      </c>
      <c r="L14" s="6">
        <f t="shared" si="2"/>
        <v>345</v>
      </c>
      <c r="M14" s="6">
        <f t="shared" si="2"/>
        <v>375</v>
      </c>
      <c r="N14" s="6">
        <f>((509+509*10%)*1.1)*1.04</f>
        <v>641</v>
      </c>
      <c r="O14" s="6">
        <f>((576+576*10%)*1.1)*1.04</f>
        <v>725</v>
      </c>
      <c r="P14" s="6">
        <f>((664+664*10%)*1.1)*1.04</f>
        <v>836</v>
      </c>
      <c r="Q14" s="2"/>
    </row>
    <row r="15" spans="1:17" ht="18" x14ac:dyDescent="0.25">
      <c r="A15" s="7" t="s">
        <v>10</v>
      </c>
      <c r="B15" s="8">
        <v>220</v>
      </c>
      <c r="C15" s="8">
        <v>242</v>
      </c>
      <c r="D15" s="8">
        <v>265</v>
      </c>
      <c r="E15" s="8">
        <v>287</v>
      </c>
      <c r="F15" s="8">
        <v>309</v>
      </c>
      <c r="G15" s="8">
        <v>332</v>
      </c>
      <c r="H15" s="8">
        <v>354</v>
      </c>
      <c r="I15" s="8">
        <v>397</v>
      </c>
      <c r="J15" s="8">
        <v>442</v>
      </c>
      <c r="K15" s="8">
        <v>487</v>
      </c>
      <c r="L15" s="8">
        <v>508</v>
      </c>
      <c r="M15" s="8">
        <v>552</v>
      </c>
      <c r="N15" s="8">
        <f>((697+697*0.05)*1.1)*1.04</f>
        <v>837</v>
      </c>
      <c r="O15" s="8">
        <f>((796+796*0.05)*1.1)*1.04</f>
        <v>956</v>
      </c>
      <c r="P15" s="8">
        <f>((892+892*0.05)*1.1)*1.04</f>
        <v>1071</v>
      </c>
      <c r="Q15" s="2"/>
    </row>
    <row r="16" spans="1:17" ht="18" x14ac:dyDescent="0.25">
      <c r="A16" s="5" t="s">
        <v>11</v>
      </c>
      <c r="B16" s="6">
        <v>269</v>
      </c>
      <c r="C16" s="6">
        <v>296</v>
      </c>
      <c r="D16" s="6">
        <v>322</v>
      </c>
      <c r="E16" s="6">
        <v>350</v>
      </c>
      <c r="F16" s="6">
        <v>376</v>
      </c>
      <c r="G16" s="6">
        <v>404</v>
      </c>
      <c r="H16" s="6">
        <v>431</v>
      </c>
      <c r="I16" s="6">
        <v>484</v>
      </c>
      <c r="J16" s="6">
        <v>538</v>
      </c>
      <c r="K16" s="6">
        <v>592</v>
      </c>
      <c r="L16" s="6">
        <v>619</v>
      </c>
      <c r="M16" s="6">
        <v>673</v>
      </c>
      <c r="N16" s="6">
        <f>((845+845*0.1)*1.1)*1.04</f>
        <v>1063</v>
      </c>
      <c r="O16" s="6">
        <f>((964+964*0.1)*1.1)*1.04</f>
        <v>1213</v>
      </c>
      <c r="P16" s="6">
        <f>((1097+1097*0.1)*1.1)*1.04</f>
        <v>1380</v>
      </c>
      <c r="Q16" s="2"/>
    </row>
    <row r="17" spans="1:17" ht="18" x14ac:dyDescent="0.25">
      <c r="A17" s="7" t="s">
        <v>62</v>
      </c>
      <c r="B17" s="8">
        <f t="shared" ref="B17:M17" si="3">((B7*3.1)*1.1)*1.04</f>
        <v>355</v>
      </c>
      <c r="C17" s="8">
        <f t="shared" si="3"/>
        <v>390</v>
      </c>
      <c r="D17" s="8">
        <f t="shared" si="3"/>
        <v>426</v>
      </c>
      <c r="E17" s="8">
        <f t="shared" si="3"/>
        <v>461</v>
      </c>
      <c r="F17" s="8">
        <f t="shared" si="3"/>
        <v>496</v>
      </c>
      <c r="G17" s="8">
        <f t="shared" si="3"/>
        <v>532</v>
      </c>
      <c r="H17" s="8">
        <f t="shared" si="3"/>
        <v>567</v>
      </c>
      <c r="I17" s="8">
        <f t="shared" si="3"/>
        <v>638</v>
      </c>
      <c r="J17" s="8">
        <f t="shared" si="3"/>
        <v>709</v>
      </c>
      <c r="K17" s="8">
        <f t="shared" si="3"/>
        <v>780</v>
      </c>
      <c r="L17" s="8">
        <f t="shared" si="3"/>
        <v>816</v>
      </c>
      <c r="M17" s="8">
        <f t="shared" si="3"/>
        <v>887</v>
      </c>
      <c r="N17" s="8">
        <f>((1072+1072*10%)*1.1)*1.04</f>
        <v>1349</v>
      </c>
      <c r="O17" s="8">
        <f>((1174+1174*10%)*1.1)*1.04</f>
        <v>1477</v>
      </c>
      <c r="P17" s="8">
        <f>((1210+1210*10%)*1.1)*1.04</f>
        <v>1523</v>
      </c>
      <c r="Q17" s="2"/>
    </row>
    <row r="18" spans="1:17" ht="18" x14ac:dyDescent="0.25">
      <c r="A18" s="5" t="s">
        <v>63</v>
      </c>
      <c r="B18" s="6">
        <v>516</v>
      </c>
      <c r="C18" s="6">
        <f t="shared" ref="C18:M18" si="4">((C7*4.5)*1.1)*1.04</f>
        <v>566</v>
      </c>
      <c r="D18" s="6">
        <f t="shared" si="4"/>
        <v>618</v>
      </c>
      <c r="E18" s="6">
        <f t="shared" si="4"/>
        <v>669</v>
      </c>
      <c r="F18" s="6">
        <f t="shared" si="4"/>
        <v>721</v>
      </c>
      <c r="G18" s="6">
        <f t="shared" si="4"/>
        <v>772</v>
      </c>
      <c r="H18" s="6">
        <f t="shared" si="4"/>
        <v>824</v>
      </c>
      <c r="I18" s="6">
        <f t="shared" si="4"/>
        <v>927</v>
      </c>
      <c r="J18" s="6">
        <f t="shared" si="4"/>
        <v>1030</v>
      </c>
      <c r="K18" s="6">
        <f t="shared" si="4"/>
        <v>1133</v>
      </c>
      <c r="L18" s="6">
        <f t="shared" si="4"/>
        <v>1184</v>
      </c>
      <c r="M18" s="6">
        <f t="shared" si="4"/>
        <v>1287</v>
      </c>
      <c r="N18" s="6">
        <f>((1262+1262*10%)*1.1)*1.04</f>
        <v>1588</v>
      </c>
      <c r="O18" s="6">
        <f>((1302+1302*10%)*1.1)*1.04</f>
        <v>1638</v>
      </c>
      <c r="P18" s="6">
        <f>((1338+1338*10%)*1.1)*1.04</f>
        <v>1684</v>
      </c>
      <c r="Q18" s="2"/>
    </row>
    <row r="19" spans="1:17" ht="18" x14ac:dyDescent="0.25">
      <c r="A19" s="10" t="s">
        <v>64</v>
      </c>
      <c r="B19" s="11">
        <f t="shared" ref="B19:M19" si="5">((B7*5.64)*1.1)*1.04</f>
        <v>645</v>
      </c>
      <c r="C19" s="11">
        <f t="shared" si="5"/>
        <v>710</v>
      </c>
      <c r="D19" s="11">
        <f t="shared" si="5"/>
        <v>774</v>
      </c>
      <c r="E19" s="11">
        <f t="shared" si="5"/>
        <v>839</v>
      </c>
      <c r="F19" s="11">
        <f t="shared" si="5"/>
        <v>903</v>
      </c>
      <c r="G19" s="11">
        <f t="shared" si="5"/>
        <v>968</v>
      </c>
      <c r="H19" s="11">
        <f t="shared" si="5"/>
        <v>1032</v>
      </c>
      <c r="I19" s="11">
        <f t="shared" si="5"/>
        <v>1161</v>
      </c>
      <c r="J19" s="11">
        <f t="shared" si="5"/>
        <v>1290</v>
      </c>
      <c r="K19" s="11">
        <f t="shared" si="5"/>
        <v>1419</v>
      </c>
      <c r="L19" s="11">
        <f t="shared" si="5"/>
        <v>1484</v>
      </c>
      <c r="M19" s="11">
        <f t="shared" si="5"/>
        <v>1613</v>
      </c>
      <c r="N19" s="11">
        <f>((1579+1579*10%)*1.1)*1.04</f>
        <v>1987</v>
      </c>
      <c r="O19" s="11">
        <f>((1638+1638*10%)*1.1)*1.04</f>
        <v>2061</v>
      </c>
      <c r="P19" s="11">
        <f>((1697+1697*10%)*1.1)*1.04</f>
        <v>2136</v>
      </c>
      <c r="Q19" s="2"/>
    </row>
    <row r="20" spans="1:17" ht="18" x14ac:dyDescent="0.25">
      <c r="A20" s="5" t="s">
        <v>65</v>
      </c>
      <c r="B20" s="6">
        <f t="shared" ref="B20:M20" si="6">((B7*1.8)*1.1)*1.04</f>
        <v>206</v>
      </c>
      <c r="C20" s="6">
        <f t="shared" si="6"/>
        <v>227</v>
      </c>
      <c r="D20" s="6">
        <f t="shared" si="6"/>
        <v>247</v>
      </c>
      <c r="E20" s="6">
        <f t="shared" si="6"/>
        <v>268</v>
      </c>
      <c r="F20" s="6">
        <f t="shared" si="6"/>
        <v>288</v>
      </c>
      <c r="G20" s="6">
        <f t="shared" si="6"/>
        <v>309</v>
      </c>
      <c r="H20" s="6">
        <f t="shared" si="6"/>
        <v>329</v>
      </c>
      <c r="I20" s="6">
        <f t="shared" si="6"/>
        <v>371</v>
      </c>
      <c r="J20" s="6">
        <f t="shared" si="6"/>
        <v>412</v>
      </c>
      <c r="K20" s="6">
        <f t="shared" si="6"/>
        <v>453</v>
      </c>
      <c r="L20" s="6">
        <f t="shared" si="6"/>
        <v>474</v>
      </c>
      <c r="M20" s="6">
        <f t="shared" si="6"/>
        <v>515</v>
      </c>
      <c r="N20" s="6">
        <f>((635+635*10%)*1.1)*1.04</f>
        <v>799</v>
      </c>
      <c r="O20" s="6">
        <f>((984+984*10%)*1.1)*1.04</f>
        <v>1238</v>
      </c>
      <c r="P20" s="6">
        <f>((1004+1004*10%)*1.1)*1.04</f>
        <v>1263</v>
      </c>
      <c r="Q20" s="2"/>
    </row>
    <row r="21" spans="1:17" ht="18" x14ac:dyDescent="0.25">
      <c r="A21" s="10" t="s">
        <v>66</v>
      </c>
      <c r="B21" s="11">
        <v>292</v>
      </c>
      <c r="C21" s="11">
        <f t="shared" ref="C21:M21" si="7">((C7*2.55)*1.1)*1.04</f>
        <v>321</v>
      </c>
      <c r="D21" s="11">
        <f t="shared" si="7"/>
        <v>350</v>
      </c>
      <c r="E21" s="11">
        <f t="shared" si="7"/>
        <v>379</v>
      </c>
      <c r="F21" s="11">
        <f t="shared" si="7"/>
        <v>408</v>
      </c>
      <c r="G21" s="11">
        <f t="shared" si="7"/>
        <v>438</v>
      </c>
      <c r="H21" s="11">
        <f t="shared" si="7"/>
        <v>467</v>
      </c>
      <c r="I21" s="11">
        <f t="shared" si="7"/>
        <v>525</v>
      </c>
      <c r="J21" s="11">
        <f t="shared" si="7"/>
        <v>583</v>
      </c>
      <c r="K21" s="11">
        <f t="shared" si="7"/>
        <v>642</v>
      </c>
      <c r="L21" s="11">
        <f t="shared" si="7"/>
        <v>671</v>
      </c>
      <c r="M21" s="11">
        <f t="shared" si="7"/>
        <v>729</v>
      </c>
      <c r="N21" s="11">
        <f>((787+787*10%)*1.1)*1.04</f>
        <v>990</v>
      </c>
      <c r="O21" s="11">
        <f>((1090+1090*10%)*1.1)*1.04</f>
        <v>1372</v>
      </c>
      <c r="P21" s="11">
        <f>((1116+1116*10%)*1.1)*1.04</f>
        <v>1404</v>
      </c>
      <c r="Q21" s="2"/>
    </row>
    <row r="22" spans="1:17" ht="18" x14ac:dyDescent="0.25">
      <c r="A22" s="5" t="s">
        <v>67</v>
      </c>
      <c r="B22" s="6">
        <f t="shared" ref="B22:M22" si="8">((B7*3.15)*1.1)*1.04</f>
        <v>360</v>
      </c>
      <c r="C22" s="6">
        <f t="shared" si="8"/>
        <v>396</v>
      </c>
      <c r="D22" s="6">
        <f t="shared" si="8"/>
        <v>432</v>
      </c>
      <c r="E22" s="6">
        <f t="shared" si="8"/>
        <v>468</v>
      </c>
      <c r="F22" s="6">
        <f t="shared" si="8"/>
        <v>505</v>
      </c>
      <c r="G22" s="6">
        <f t="shared" si="8"/>
        <v>541</v>
      </c>
      <c r="H22" s="6">
        <f t="shared" si="8"/>
        <v>577</v>
      </c>
      <c r="I22" s="6">
        <f t="shared" si="8"/>
        <v>649</v>
      </c>
      <c r="J22" s="6">
        <f t="shared" si="8"/>
        <v>721</v>
      </c>
      <c r="K22" s="6">
        <f t="shared" si="8"/>
        <v>793</v>
      </c>
      <c r="L22" s="6">
        <f t="shared" si="8"/>
        <v>829</v>
      </c>
      <c r="M22" s="6">
        <f t="shared" si="8"/>
        <v>901</v>
      </c>
      <c r="N22" s="6">
        <v>1304</v>
      </c>
      <c r="O22" s="6">
        <f>((1282+1282*10%)*1.1)*1.04</f>
        <v>1613</v>
      </c>
      <c r="P22" s="6">
        <f>((1312+1312*10%)*1.1)*1.04</f>
        <v>1651</v>
      </c>
      <c r="Q22" s="2"/>
    </row>
    <row r="23" spans="1:17" ht="18" x14ac:dyDescent="0.25">
      <c r="A23" s="10" t="s">
        <v>68</v>
      </c>
      <c r="B23" s="11">
        <v>412</v>
      </c>
      <c r="C23" s="11">
        <v>453</v>
      </c>
      <c r="D23" s="11">
        <v>494</v>
      </c>
      <c r="E23" s="11">
        <v>536</v>
      </c>
      <c r="F23" s="11">
        <v>576</v>
      </c>
      <c r="G23" s="11">
        <v>618</v>
      </c>
      <c r="H23" s="11">
        <v>659</v>
      </c>
      <c r="I23" s="11">
        <v>742</v>
      </c>
      <c r="J23" s="11">
        <v>824</v>
      </c>
      <c r="K23" s="11">
        <v>906</v>
      </c>
      <c r="L23" s="11">
        <v>947</v>
      </c>
      <c r="M23" s="11">
        <v>1030</v>
      </c>
      <c r="N23" s="11">
        <f>((1644+1644*10%)*1.1)*1.04</f>
        <v>2069</v>
      </c>
      <c r="O23" s="11">
        <f>((1918+1918*10%)*1.1)*1.04</f>
        <v>2414</v>
      </c>
      <c r="P23" s="11">
        <f>((2263+2263*10%)*1.1)*1.04</f>
        <v>2848</v>
      </c>
      <c r="Q23" s="2"/>
    </row>
    <row r="24" spans="1:17" ht="18" x14ac:dyDescent="0.25">
      <c r="A24" s="5" t="s">
        <v>91</v>
      </c>
      <c r="B24" s="6">
        <v>1012</v>
      </c>
      <c r="C24" s="6">
        <v>1053</v>
      </c>
      <c r="D24" s="6">
        <v>1094</v>
      </c>
      <c r="E24" s="6">
        <v>1136</v>
      </c>
      <c r="F24" s="6">
        <v>1176</v>
      </c>
      <c r="G24" s="6">
        <v>1218</v>
      </c>
      <c r="H24" s="6">
        <v>1259</v>
      </c>
      <c r="I24" s="6">
        <v>1342</v>
      </c>
      <c r="J24" s="6">
        <v>1424</v>
      </c>
      <c r="K24" s="6">
        <v>1506</v>
      </c>
      <c r="L24" s="6">
        <v>1547</v>
      </c>
      <c r="M24" s="6">
        <v>1630</v>
      </c>
      <c r="N24" s="6">
        <f>(((1644+1644*10%)*1.1)*1.04)+600</f>
        <v>2669</v>
      </c>
      <c r="O24" s="6">
        <f>(((1918+1918*10%)*1.1)*1.04)+600</f>
        <v>3014</v>
      </c>
      <c r="P24" s="6">
        <f>(((2263+2263*10%)*1.1)*1.04)+600</f>
        <v>3448</v>
      </c>
      <c r="Q24" s="2"/>
    </row>
    <row r="25" spans="1:17" ht="18" x14ac:dyDescent="0.25">
      <c r="A25" s="10" t="s">
        <v>56</v>
      </c>
      <c r="B25" s="11">
        <v>630</v>
      </c>
      <c r="C25" s="11">
        <v>693</v>
      </c>
      <c r="D25" s="11">
        <v>755</v>
      </c>
      <c r="E25" s="11">
        <v>818</v>
      </c>
      <c r="F25" s="11">
        <v>881</v>
      </c>
      <c r="G25" s="11">
        <v>944</v>
      </c>
      <c r="H25" s="11">
        <v>1007</v>
      </c>
      <c r="I25" s="11">
        <v>1133</v>
      </c>
      <c r="J25" s="11">
        <v>1258</v>
      </c>
      <c r="K25" s="11">
        <v>1384</v>
      </c>
      <c r="L25" s="11">
        <v>1448</v>
      </c>
      <c r="M25" s="11">
        <v>1574</v>
      </c>
      <c r="N25" s="11">
        <f>((2333+2333*10%)*1.1)*1.04</f>
        <v>2936</v>
      </c>
      <c r="O25" s="11">
        <f>((2357+2357*10%)*1.1)*1.04</f>
        <v>2966</v>
      </c>
      <c r="P25" s="11">
        <f>((2476+2476*10%)*1.1)*1.04</f>
        <v>3116</v>
      </c>
      <c r="Q25" s="2"/>
    </row>
    <row r="26" spans="1:17" ht="18" x14ac:dyDescent="0.25">
      <c r="A26" s="5" t="s">
        <v>92</v>
      </c>
      <c r="B26" s="6">
        <v>1230</v>
      </c>
      <c r="C26" s="6">
        <v>1293</v>
      </c>
      <c r="D26" s="6">
        <v>1355</v>
      </c>
      <c r="E26" s="6">
        <v>1418</v>
      </c>
      <c r="F26" s="6">
        <v>1481</v>
      </c>
      <c r="G26" s="6">
        <v>1544</v>
      </c>
      <c r="H26" s="6">
        <v>1607</v>
      </c>
      <c r="I26" s="6">
        <v>1733</v>
      </c>
      <c r="J26" s="6">
        <v>1858</v>
      </c>
      <c r="K26" s="6">
        <v>1984</v>
      </c>
      <c r="L26" s="6">
        <v>2048</v>
      </c>
      <c r="M26" s="6">
        <v>2174</v>
      </c>
      <c r="N26" s="6">
        <f>(((2333+2333*10%)*1.1)*1.04)+600</f>
        <v>3536</v>
      </c>
      <c r="O26" s="6">
        <f>(((2357+2357*10%)*1.1)*1.04)+600</f>
        <v>3566</v>
      </c>
      <c r="P26" s="6">
        <f>(((2476+2476*10%)*1.1)*1.04)+600</f>
        <v>3716</v>
      </c>
      <c r="Q26" s="2"/>
    </row>
    <row r="27" spans="1:17" ht="18" x14ac:dyDescent="0.25">
      <c r="A27" s="10" t="s">
        <v>69</v>
      </c>
      <c r="B27" s="11">
        <v>824</v>
      </c>
      <c r="C27" s="11">
        <v>906</v>
      </c>
      <c r="D27" s="11">
        <v>988</v>
      </c>
      <c r="E27" s="11">
        <v>1071</v>
      </c>
      <c r="F27" s="11">
        <v>1153</v>
      </c>
      <c r="G27" s="11">
        <v>1236</v>
      </c>
      <c r="H27" s="11">
        <v>1318</v>
      </c>
      <c r="I27" s="11">
        <v>1483</v>
      </c>
      <c r="J27" s="11">
        <v>1647</v>
      </c>
      <c r="K27" s="11">
        <v>1812</v>
      </c>
      <c r="L27" s="11">
        <v>1895</v>
      </c>
      <c r="M27" s="11">
        <v>2215</v>
      </c>
      <c r="N27" s="11">
        <f>((2911+2911*0.1)*1.1)*1.04</f>
        <v>3663</v>
      </c>
      <c r="O27" s="11">
        <f>((2985+2985*0.1)*1.1)*1.04</f>
        <v>3756</v>
      </c>
      <c r="P27" s="11">
        <f>((3398+3398*0.1)*1.1)*1.04</f>
        <v>4276</v>
      </c>
      <c r="Q27" s="2"/>
    </row>
    <row r="28" spans="1:17" ht="18" x14ac:dyDescent="0.25">
      <c r="A28" s="5" t="s">
        <v>93</v>
      </c>
      <c r="B28" s="6">
        <v>1424</v>
      </c>
      <c r="C28" s="6">
        <v>1506</v>
      </c>
      <c r="D28" s="6">
        <v>1588</v>
      </c>
      <c r="E28" s="6">
        <v>1671</v>
      </c>
      <c r="F28" s="6">
        <v>1753</v>
      </c>
      <c r="G28" s="6">
        <v>1836</v>
      </c>
      <c r="H28" s="6">
        <v>1918</v>
      </c>
      <c r="I28" s="6">
        <v>2083</v>
      </c>
      <c r="J28" s="6">
        <v>2247</v>
      </c>
      <c r="K28" s="6">
        <v>2412</v>
      </c>
      <c r="L28" s="6">
        <v>2495</v>
      </c>
      <c r="M28" s="6">
        <v>2815</v>
      </c>
      <c r="N28" s="6">
        <f>(((2911+2911*0.1)*1.1)*1.04)+600</f>
        <v>4263</v>
      </c>
      <c r="O28" s="6">
        <f>(((2985+2985*0.1)*1.1)*1.04)+600</f>
        <v>4356</v>
      </c>
      <c r="P28" s="6">
        <f>(((3398+3398*0.1)*1.1)*1.04)+600</f>
        <v>4876</v>
      </c>
      <c r="Q28" s="2"/>
    </row>
    <row r="29" spans="1:17" ht="18" x14ac:dyDescent="0.25">
      <c r="A29" s="10" t="s">
        <v>70</v>
      </c>
      <c r="B29" s="11">
        <v>528</v>
      </c>
      <c r="C29" s="11">
        <v>581</v>
      </c>
      <c r="D29" s="11">
        <v>633</v>
      </c>
      <c r="E29" s="11">
        <v>687</v>
      </c>
      <c r="F29" s="11">
        <v>740</v>
      </c>
      <c r="G29" s="11">
        <v>792</v>
      </c>
      <c r="H29" s="11">
        <v>846</v>
      </c>
      <c r="I29" s="11">
        <v>952</v>
      </c>
      <c r="J29" s="11">
        <v>1057</v>
      </c>
      <c r="K29" s="11">
        <v>1163</v>
      </c>
      <c r="L29" s="11">
        <v>1216</v>
      </c>
      <c r="M29" s="11">
        <v>1478</v>
      </c>
      <c r="N29" s="11">
        <f>((2288+2288*0.1)*1.1)*1.04</f>
        <v>2879</v>
      </c>
      <c r="O29" s="11">
        <f>((2717+2717*0.1)*1.1)*1.04</f>
        <v>3419</v>
      </c>
      <c r="P29" s="11">
        <f>((3197+3197*0.1)*1.1)*1.04</f>
        <v>4023</v>
      </c>
      <c r="Q29" s="2"/>
    </row>
    <row r="30" spans="1:17" ht="18" x14ac:dyDescent="0.25">
      <c r="A30" s="5" t="s">
        <v>94</v>
      </c>
      <c r="B30" s="6">
        <v>1128</v>
      </c>
      <c r="C30" s="6">
        <v>1181</v>
      </c>
      <c r="D30" s="6">
        <v>1233</v>
      </c>
      <c r="E30" s="6">
        <v>1287</v>
      </c>
      <c r="F30" s="6">
        <v>1340</v>
      </c>
      <c r="G30" s="6">
        <v>1392</v>
      </c>
      <c r="H30" s="6">
        <v>1446</v>
      </c>
      <c r="I30" s="6">
        <v>1552</v>
      </c>
      <c r="J30" s="6">
        <v>1657</v>
      </c>
      <c r="K30" s="6">
        <v>1763</v>
      </c>
      <c r="L30" s="6">
        <v>1816</v>
      </c>
      <c r="M30" s="6">
        <v>2078</v>
      </c>
      <c r="N30" s="6">
        <f>(((2288+2288*0.1)*1.1)*1.04)+600</f>
        <v>3479</v>
      </c>
      <c r="O30" s="6">
        <f>(((2717+2717*0.1)*1.1)*1.04)+600</f>
        <v>4019</v>
      </c>
      <c r="P30" s="6">
        <f>(((3197+3197*0.1)*1.1)*1.04)+600</f>
        <v>4623</v>
      </c>
      <c r="Q30" s="2"/>
    </row>
    <row r="31" spans="1:17" ht="18" x14ac:dyDescent="0.25">
      <c r="A31" s="10" t="s">
        <v>71</v>
      </c>
      <c r="B31" s="11">
        <v>827</v>
      </c>
      <c r="C31" s="11">
        <v>910</v>
      </c>
      <c r="D31" s="11">
        <v>993</v>
      </c>
      <c r="E31" s="11">
        <v>1075</v>
      </c>
      <c r="F31" s="11">
        <v>1158</v>
      </c>
      <c r="G31" s="11">
        <v>1242</v>
      </c>
      <c r="H31" s="11">
        <v>1324</v>
      </c>
      <c r="I31" s="11">
        <v>1488</v>
      </c>
      <c r="J31" s="11">
        <v>1655</v>
      </c>
      <c r="K31" s="11">
        <v>1820</v>
      </c>
      <c r="L31" s="11">
        <v>1902</v>
      </c>
      <c r="M31" s="11">
        <v>2225</v>
      </c>
      <c r="N31" s="11">
        <f>((3225+3225*0.1)*1.1)*1.04</f>
        <v>4058</v>
      </c>
      <c r="O31" s="11">
        <f>((3296+3296*0.1)*1.1)*1.04</f>
        <v>4148</v>
      </c>
      <c r="P31" s="11">
        <f>((3437+3437*0.1)*1.1)*1.04</f>
        <v>4325</v>
      </c>
      <c r="Q31" s="2"/>
    </row>
    <row r="32" spans="1:17" ht="18" x14ac:dyDescent="0.25">
      <c r="A32" s="5" t="s">
        <v>95</v>
      </c>
      <c r="B32" s="6">
        <v>1427</v>
      </c>
      <c r="C32" s="6">
        <v>1510</v>
      </c>
      <c r="D32" s="6">
        <v>1593</v>
      </c>
      <c r="E32" s="6">
        <v>1675</v>
      </c>
      <c r="F32" s="6">
        <v>1758</v>
      </c>
      <c r="G32" s="6">
        <v>1842</v>
      </c>
      <c r="H32" s="6">
        <v>1924</v>
      </c>
      <c r="I32" s="6">
        <v>2088</v>
      </c>
      <c r="J32" s="6">
        <v>2255</v>
      </c>
      <c r="K32" s="6">
        <v>2420</v>
      </c>
      <c r="L32" s="6">
        <v>2502</v>
      </c>
      <c r="M32" s="6">
        <v>2825</v>
      </c>
      <c r="N32" s="6">
        <f>(((3225+3225*0.1)*1.1)*1.04)+600</f>
        <v>4658</v>
      </c>
      <c r="O32" s="6">
        <f>(((3296+3296*0.1)*1.1)*1.04)+600</f>
        <v>4748</v>
      </c>
      <c r="P32" s="6">
        <f>(((3437+3437*0.1)*1.1)*1.04)+600</f>
        <v>4925</v>
      </c>
      <c r="Q32" s="2"/>
    </row>
    <row r="33" spans="1:17" ht="18" x14ac:dyDescent="0.25">
      <c r="A33" s="10" t="s">
        <v>72</v>
      </c>
      <c r="B33" s="11">
        <v>1042</v>
      </c>
      <c r="C33" s="11">
        <v>1148</v>
      </c>
      <c r="D33" s="11">
        <v>1254</v>
      </c>
      <c r="E33" s="11">
        <v>1358</v>
      </c>
      <c r="F33" s="11">
        <v>1462</v>
      </c>
      <c r="G33" s="11">
        <v>1567</v>
      </c>
      <c r="H33" s="11">
        <v>1671</v>
      </c>
      <c r="I33" s="11">
        <v>1879</v>
      </c>
      <c r="J33" s="11">
        <v>2089</v>
      </c>
      <c r="K33" s="11">
        <v>2298</v>
      </c>
      <c r="L33" s="11">
        <v>2402</v>
      </c>
      <c r="M33" s="11">
        <v>2611</v>
      </c>
      <c r="N33" s="11">
        <f>((4036+4036*0.1)*1.1)*1.04</f>
        <v>5079</v>
      </c>
      <c r="O33" s="11">
        <f>((4090+4090*0.1)*1.1)*1.04</f>
        <v>5147</v>
      </c>
      <c r="P33" s="11">
        <f>((4800+4800*0.1)*1.1)*1.04</f>
        <v>6040</v>
      </c>
      <c r="Q33" s="2"/>
    </row>
    <row r="34" spans="1:17" ht="18" x14ac:dyDescent="0.25">
      <c r="A34" s="5" t="s">
        <v>96</v>
      </c>
      <c r="B34" s="6">
        <v>1642</v>
      </c>
      <c r="C34" s="6">
        <v>1748</v>
      </c>
      <c r="D34" s="6">
        <v>1854</v>
      </c>
      <c r="E34" s="6">
        <v>1958</v>
      </c>
      <c r="F34" s="6">
        <v>2062</v>
      </c>
      <c r="G34" s="6">
        <v>2167</v>
      </c>
      <c r="H34" s="6">
        <v>2271</v>
      </c>
      <c r="I34" s="6">
        <v>2479</v>
      </c>
      <c r="J34" s="6">
        <v>2689</v>
      </c>
      <c r="K34" s="6">
        <v>2898</v>
      </c>
      <c r="L34" s="6">
        <v>3002</v>
      </c>
      <c r="M34" s="6">
        <v>3211</v>
      </c>
      <c r="N34" s="6">
        <f>(((4036+4036*0.1)*1.1)*1.04)+600</f>
        <v>5679</v>
      </c>
      <c r="O34" s="6">
        <f>(((4090+4090*0.1)*1.1)*1.04)+600</f>
        <v>5747</v>
      </c>
      <c r="P34" s="6">
        <f>(((4800+4800*0.1)*1.1)*1.04)+600</f>
        <v>6640</v>
      </c>
      <c r="Q34" s="2"/>
    </row>
    <row r="35" spans="1:17" ht="18" x14ac:dyDescent="0.25">
      <c r="A35" s="10" t="s">
        <v>73</v>
      </c>
      <c r="B35" s="11">
        <v>412</v>
      </c>
      <c r="C35" s="11">
        <v>453</v>
      </c>
      <c r="D35" s="11">
        <v>494</v>
      </c>
      <c r="E35" s="11">
        <v>536</v>
      </c>
      <c r="F35" s="11">
        <v>576</v>
      </c>
      <c r="G35" s="11">
        <v>618</v>
      </c>
      <c r="H35" s="11">
        <v>659</v>
      </c>
      <c r="I35" s="11">
        <v>742</v>
      </c>
      <c r="J35" s="11">
        <v>824</v>
      </c>
      <c r="K35" s="11">
        <v>906</v>
      </c>
      <c r="L35" s="11">
        <v>947</v>
      </c>
      <c r="M35" s="11">
        <v>1030</v>
      </c>
      <c r="N35" s="11">
        <f>((1455+1455*0.1)*1.1)*1.04</f>
        <v>1831</v>
      </c>
      <c r="O35" s="11">
        <f>((1629+1629*0.1)*1.1)*1.04</f>
        <v>2050</v>
      </c>
      <c r="P35" s="11">
        <f>((1834+1834*0.1)*1.1)*1.04</f>
        <v>2308</v>
      </c>
      <c r="Q35" s="2"/>
    </row>
    <row r="36" spans="1:17" ht="18" x14ac:dyDescent="0.25">
      <c r="A36" s="5" t="s">
        <v>74</v>
      </c>
      <c r="B36" s="6">
        <v>630</v>
      </c>
      <c r="C36" s="6">
        <v>693</v>
      </c>
      <c r="D36" s="6">
        <v>755</v>
      </c>
      <c r="E36" s="6">
        <v>818</v>
      </c>
      <c r="F36" s="6">
        <v>881</v>
      </c>
      <c r="G36" s="6">
        <v>944</v>
      </c>
      <c r="H36" s="6">
        <v>1007</v>
      </c>
      <c r="I36" s="6">
        <v>1133</v>
      </c>
      <c r="J36" s="6">
        <v>1258</v>
      </c>
      <c r="K36" s="6">
        <v>1384</v>
      </c>
      <c r="L36" s="6">
        <v>1448</v>
      </c>
      <c r="M36" s="6">
        <v>1574</v>
      </c>
      <c r="N36" s="6">
        <f>((2332+2332*0.1)*1.1)*1.04</f>
        <v>2935</v>
      </c>
      <c r="O36" s="6">
        <f>((2371+2371*0.1)*1.1)*1.04</f>
        <v>2984</v>
      </c>
      <c r="P36" s="6">
        <f>((2489+2489*0.1)*1.1)*1.04</f>
        <v>3132</v>
      </c>
      <c r="Q36" s="2"/>
    </row>
    <row r="37" spans="1:17" ht="18" x14ac:dyDescent="0.25">
      <c r="A37" s="10" t="s">
        <v>75</v>
      </c>
      <c r="B37" s="11">
        <v>824</v>
      </c>
      <c r="C37" s="11">
        <v>906</v>
      </c>
      <c r="D37" s="11">
        <v>988</v>
      </c>
      <c r="E37" s="11">
        <v>1071</v>
      </c>
      <c r="F37" s="11">
        <v>1153</v>
      </c>
      <c r="G37" s="11">
        <v>1236</v>
      </c>
      <c r="H37" s="11">
        <v>1318</v>
      </c>
      <c r="I37" s="11">
        <v>1483</v>
      </c>
      <c r="J37" s="11">
        <v>1647</v>
      </c>
      <c r="K37" s="11">
        <v>1812</v>
      </c>
      <c r="L37" s="11">
        <v>1895</v>
      </c>
      <c r="M37" s="11">
        <v>2215</v>
      </c>
      <c r="N37" s="11">
        <f>((2910+2910*0.1)*1.1)*1.04</f>
        <v>3662</v>
      </c>
      <c r="O37" s="11">
        <f>((3020+3020*0.1)*1.1)*1.04</f>
        <v>3800</v>
      </c>
      <c r="P37" s="11">
        <f>((3138+3138*0.1)*1.1)*1.04</f>
        <v>3949</v>
      </c>
      <c r="Q37" s="2"/>
    </row>
    <row r="38" spans="1:17" ht="18" x14ac:dyDescent="0.25">
      <c r="A38" s="5" t="s">
        <v>3</v>
      </c>
      <c r="B38" s="6">
        <v>272</v>
      </c>
      <c r="C38" s="6">
        <v>272</v>
      </c>
      <c r="D38" s="6">
        <v>289</v>
      </c>
      <c r="E38" s="6">
        <v>289</v>
      </c>
      <c r="F38" s="6">
        <v>315</v>
      </c>
      <c r="G38" s="6">
        <v>327</v>
      </c>
      <c r="H38" s="6">
        <v>331</v>
      </c>
      <c r="I38" s="6">
        <v>381</v>
      </c>
      <c r="J38" s="6">
        <v>408</v>
      </c>
      <c r="K38" s="6">
        <v>470</v>
      </c>
      <c r="L38" s="6">
        <v>535</v>
      </c>
      <c r="M38" s="6">
        <v>558</v>
      </c>
      <c r="N38" s="6">
        <v>643</v>
      </c>
      <c r="O38" s="6">
        <v>701</v>
      </c>
      <c r="P38" s="6">
        <v>815</v>
      </c>
      <c r="Q38" s="2"/>
    </row>
    <row r="39" spans="1:17" ht="18" x14ac:dyDescent="0.25">
      <c r="A39" s="10" t="s">
        <v>45</v>
      </c>
      <c r="B39" s="11">
        <v>367</v>
      </c>
      <c r="C39" s="11">
        <v>384</v>
      </c>
      <c r="D39" s="11">
        <v>400</v>
      </c>
      <c r="E39" s="11">
        <v>400</v>
      </c>
      <c r="F39" s="11">
        <v>430</v>
      </c>
      <c r="G39" s="11">
        <v>435</v>
      </c>
      <c r="H39" s="11">
        <v>445</v>
      </c>
      <c r="I39" s="11">
        <v>496</v>
      </c>
      <c r="J39" s="11">
        <v>597</v>
      </c>
      <c r="K39" s="11">
        <v>625</v>
      </c>
      <c r="L39" s="11">
        <v>656</v>
      </c>
      <c r="M39" s="11">
        <v>785</v>
      </c>
      <c r="N39" s="11">
        <v>855</v>
      </c>
      <c r="O39" s="11">
        <v>1123</v>
      </c>
      <c r="P39" s="11">
        <v>1291</v>
      </c>
      <c r="Q39" s="2"/>
    </row>
    <row r="40" spans="1:17" ht="18" x14ac:dyDescent="0.25">
      <c r="A40" s="5" t="s">
        <v>12</v>
      </c>
      <c r="B40" s="6">
        <v>628</v>
      </c>
      <c r="C40" s="6">
        <v>628</v>
      </c>
      <c r="D40" s="6">
        <v>628</v>
      </c>
      <c r="E40" s="6">
        <v>628</v>
      </c>
      <c r="F40" s="20">
        <v>673</v>
      </c>
      <c r="G40" s="20">
        <v>721</v>
      </c>
      <c r="H40" s="20">
        <v>769</v>
      </c>
      <c r="I40" s="20">
        <v>865</v>
      </c>
      <c r="J40" s="20">
        <v>961</v>
      </c>
      <c r="K40" s="20">
        <v>1057</v>
      </c>
      <c r="L40" s="20">
        <v>1106</v>
      </c>
      <c r="M40" s="20">
        <v>1201</v>
      </c>
      <c r="N40" s="20">
        <v>1441</v>
      </c>
      <c r="O40" s="20">
        <v>1682</v>
      </c>
      <c r="P40" s="21">
        <v>1922</v>
      </c>
      <c r="Q40" s="2"/>
    </row>
    <row r="41" spans="1:17" ht="18" x14ac:dyDescent="0.25">
      <c r="A41" s="10" t="s">
        <v>13</v>
      </c>
      <c r="B41" s="11">
        <v>973</v>
      </c>
      <c r="C41" s="11">
        <v>973</v>
      </c>
      <c r="D41" s="11">
        <v>973</v>
      </c>
      <c r="E41" s="11">
        <v>973</v>
      </c>
      <c r="F41" s="22">
        <v>1070</v>
      </c>
      <c r="G41" s="22">
        <v>1145</v>
      </c>
      <c r="H41" s="22">
        <v>1222</v>
      </c>
      <c r="I41" s="22">
        <v>1375</v>
      </c>
      <c r="J41" s="22">
        <v>1528</v>
      </c>
      <c r="K41" s="22">
        <v>1681</v>
      </c>
      <c r="L41" s="22">
        <v>1757</v>
      </c>
      <c r="M41" s="22">
        <v>1909</v>
      </c>
      <c r="N41" s="22">
        <v>2291</v>
      </c>
      <c r="O41" s="22">
        <v>2673</v>
      </c>
      <c r="P41" s="23">
        <v>3054</v>
      </c>
      <c r="Q41" s="2"/>
    </row>
    <row r="42" spans="1:17" ht="18" x14ac:dyDescent="0.25">
      <c r="A42" s="5" t="s">
        <v>14</v>
      </c>
      <c r="B42" s="6">
        <v>1178</v>
      </c>
      <c r="C42" s="6">
        <v>1178</v>
      </c>
      <c r="D42" s="6">
        <v>1178</v>
      </c>
      <c r="E42" s="6">
        <v>1178</v>
      </c>
      <c r="F42" s="20">
        <v>1307</v>
      </c>
      <c r="G42" s="20">
        <v>1402</v>
      </c>
      <c r="H42" s="20">
        <v>1494</v>
      </c>
      <c r="I42" s="20">
        <v>1682</v>
      </c>
      <c r="J42" s="20">
        <v>1868</v>
      </c>
      <c r="K42" s="20">
        <v>2055</v>
      </c>
      <c r="L42" s="20">
        <v>2149</v>
      </c>
      <c r="M42" s="20">
        <v>2335</v>
      </c>
      <c r="N42" s="20">
        <v>2802</v>
      </c>
      <c r="O42" s="20">
        <v>3270</v>
      </c>
      <c r="P42" s="21">
        <v>3737</v>
      </c>
      <c r="Q42" s="2"/>
    </row>
    <row r="43" spans="1:17" ht="18" x14ac:dyDescent="0.25">
      <c r="A43" s="10" t="s">
        <v>76</v>
      </c>
      <c r="B43" s="11">
        <v>973</v>
      </c>
      <c r="C43" s="11">
        <v>973</v>
      </c>
      <c r="D43" s="11">
        <v>973</v>
      </c>
      <c r="E43" s="11">
        <v>1032</v>
      </c>
      <c r="F43" s="11">
        <v>1219</v>
      </c>
      <c r="G43" s="11">
        <v>1222</v>
      </c>
      <c r="H43" s="11">
        <v>1254</v>
      </c>
      <c r="I43" s="11">
        <v>1274</v>
      </c>
      <c r="J43" s="11">
        <v>1530</v>
      </c>
      <c r="K43" s="11">
        <v>1686</v>
      </c>
      <c r="L43" s="11">
        <v>1844</v>
      </c>
      <c r="M43" s="11">
        <v>1975</v>
      </c>
      <c r="N43" s="11">
        <v>2413</v>
      </c>
      <c r="O43" s="11">
        <v>2788</v>
      </c>
      <c r="P43" s="11">
        <v>0</v>
      </c>
      <c r="Q43" s="2"/>
    </row>
    <row r="44" spans="1:17" ht="18" x14ac:dyDescent="0.25">
      <c r="A44" s="5" t="s">
        <v>97</v>
      </c>
      <c r="B44" s="6">
        <v>168</v>
      </c>
      <c r="C44" s="6">
        <v>168</v>
      </c>
      <c r="D44" s="6">
        <v>186</v>
      </c>
      <c r="E44" s="6">
        <v>186</v>
      </c>
      <c r="F44" s="6">
        <v>215</v>
      </c>
      <c r="G44" s="6">
        <v>229</v>
      </c>
      <c r="H44" s="6">
        <v>262</v>
      </c>
      <c r="I44" s="6">
        <v>277</v>
      </c>
      <c r="J44" s="6">
        <v>414</v>
      </c>
      <c r="K44" s="6">
        <v>471</v>
      </c>
      <c r="L44" s="6">
        <v>547</v>
      </c>
      <c r="M44" s="6">
        <v>604</v>
      </c>
      <c r="N44" s="6">
        <v>702</v>
      </c>
      <c r="O44" s="6">
        <v>744</v>
      </c>
      <c r="P44" s="6">
        <v>789</v>
      </c>
      <c r="Q44" s="2"/>
    </row>
    <row r="45" spans="1:17" ht="18" x14ac:dyDescent="0.25">
      <c r="A45" s="10" t="s">
        <v>98</v>
      </c>
      <c r="B45" s="11">
        <v>248</v>
      </c>
      <c r="C45" s="11">
        <v>248</v>
      </c>
      <c r="D45" s="11">
        <v>279</v>
      </c>
      <c r="E45" s="11">
        <v>279</v>
      </c>
      <c r="F45" s="11">
        <v>327</v>
      </c>
      <c r="G45" s="11">
        <v>352</v>
      </c>
      <c r="H45" s="11">
        <v>411</v>
      </c>
      <c r="I45" s="11">
        <v>523</v>
      </c>
      <c r="J45" s="11">
        <v>684</v>
      </c>
      <c r="K45" s="11">
        <v>756</v>
      </c>
      <c r="L45" s="11">
        <v>831</v>
      </c>
      <c r="M45" s="11">
        <v>987</v>
      </c>
      <c r="N45" s="11">
        <v>1409</v>
      </c>
      <c r="O45" s="11">
        <v>1441</v>
      </c>
      <c r="P45" s="11">
        <v>1534</v>
      </c>
      <c r="Q45" s="2"/>
    </row>
    <row r="46" spans="1:17" ht="18" x14ac:dyDescent="0.25">
      <c r="A46" s="5" t="s">
        <v>77</v>
      </c>
      <c r="B46" s="6">
        <v>311</v>
      </c>
      <c r="C46" s="6">
        <v>311</v>
      </c>
      <c r="D46" s="6">
        <v>364</v>
      </c>
      <c r="E46" s="6">
        <v>364</v>
      </c>
      <c r="F46" s="6">
        <v>413</v>
      </c>
      <c r="G46" s="6">
        <v>466</v>
      </c>
      <c r="H46" s="6">
        <v>532</v>
      </c>
      <c r="I46" s="6">
        <v>569</v>
      </c>
      <c r="J46" s="6">
        <v>717</v>
      </c>
      <c r="K46" s="6">
        <v>806</v>
      </c>
      <c r="L46" s="6">
        <v>898</v>
      </c>
      <c r="M46" s="6">
        <v>1034</v>
      </c>
      <c r="N46" s="6">
        <v>1446</v>
      </c>
      <c r="O46" s="6">
        <v>1516</v>
      </c>
      <c r="P46" s="6">
        <v>1549</v>
      </c>
      <c r="Q46" s="2"/>
    </row>
    <row r="47" spans="1:17" ht="18" x14ac:dyDescent="0.25">
      <c r="A47" s="10" t="s">
        <v>5</v>
      </c>
      <c r="B47" s="11">
        <f t="shared" ref="B47:P47" si="9">((B7*6.2)*1.1)*1.04</f>
        <v>709</v>
      </c>
      <c r="C47" s="11">
        <f t="shared" si="9"/>
        <v>780</v>
      </c>
      <c r="D47" s="11">
        <f t="shared" si="9"/>
        <v>851</v>
      </c>
      <c r="E47" s="11">
        <f t="shared" si="9"/>
        <v>922</v>
      </c>
      <c r="F47" s="11">
        <f t="shared" si="9"/>
        <v>993</v>
      </c>
      <c r="G47" s="11">
        <f t="shared" si="9"/>
        <v>1064</v>
      </c>
      <c r="H47" s="11">
        <f t="shared" si="9"/>
        <v>1135</v>
      </c>
      <c r="I47" s="11">
        <f t="shared" si="9"/>
        <v>1277</v>
      </c>
      <c r="J47" s="11">
        <f t="shared" si="9"/>
        <v>1419</v>
      </c>
      <c r="K47" s="11">
        <f t="shared" si="9"/>
        <v>1560</v>
      </c>
      <c r="L47" s="11">
        <f t="shared" si="9"/>
        <v>1631</v>
      </c>
      <c r="M47" s="11">
        <f t="shared" si="9"/>
        <v>1773</v>
      </c>
      <c r="N47" s="11">
        <f t="shared" si="9"/>
        <v>2128</v>
      </c>
      <c r="O47" s="11">
        <f t="shared" si="9"/>
        <v>2482</v>
      </c>
      <c r="P47" s="11">
        <f t="shared" si="9"/>
        <v>2837</v>
      </c>
      <c r="Q47" s="2"/>
    </row>
    <row r="48" spans="1:17" ht="18" x14ac:dyDescent="0.25">
      <c r="A48" s="5" t="s">
        <v>78</v>
      </c>
      <c r="B48" s="6">
        <f t="shared" ref="B48:P48" si="10">((B7*5.4)*1.1)*1.04</f>
        <v>618</v>
      </c>
      <c r="C48" s="6">
        <f t="shared" si="10"/>
        <v>680</v>
      </c>
      <c r="D48" s="6">
        <f t="shared" si="10"/>
        <v>741</v>
      </c>
      <c r="E48" s="6">
        <f t="shared" si="10"/>
        <v>803</v>
      </c>
      <c r="F48" s="6">
        <f t="shared" si="10"/>
        <v>865</v>
      </c>
      <c r="G48" s="6">
        <f t="shared" si="10"/>
        <v>927</v>
      </c>
      <c r="H48" s="6">
        <f t="shared" si="10"/>
        <v>988</v>
      </c>
      <c r="I48" s="6">
        <f t="shared" si="10"/>
        <v>1112</v>
      </c>
      <c r="J48" s="6">
        <f t="shared" si="10"/>
        <v>1236</v>
      </c>
      <c r="K48" s="6">
        <f t="shared" si="10"/>
        <v>1359</v>
      </c>
      <c r="L48" s="6">
        <f t="shared" si="10"/>
        <v>1421</v>
      </c>
      <c r="M48" s="6">
        <f t="shared" si="10"/>
        <v>1544</v>
      </c>
      <c r="N48" s="6">
        <f t="shared" si="10"/>
        <v>1853</v>
      </c>
      <c r="O48" s="6">
        <f t="shared" si="10"/>
        <v>2162</v>
      </c>
      <c r="P48" s="6">
        <f t="shared" si="10"/>
        <v>2471</v>
      </c>
      <c r="Q48" s="2"/>
    </row>
    <row r="49" spans="1:17" ht="18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2"/>
    </row>
    <row r="50" spans="1:17" ht="48.75" customHeight="1" x14ac:dyDescent="0.25">
      <c r="A50" s="42" t="s">
        <v>79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4"/>
      <c r="Q50" s="2"/>
    </row>
    <row r="51" spans="1:17" ht="19.5" customHeight="1" x14ac:dyDescent="0.25">
      <c r="A51" s="4" t="s">
        <v>80</v>
      </c>
      <c r="B51" s="12" t="s">
        <v>29</v>
      </c>
      <c r="C51" s="12" t="s">
        <v>30</v>
      </c>
      <c r="D51" s="12" t="s">
        <v>31</v>
      </c>
      <c r="E51" s="12" t="s">
        <v>32</v>
      </c>
      <c r="F51" s="12" t="s">
        <v>33</v>
      </c>
      <c r="G51" s="12" t="s">
        <v>34</v>
      </c>
      <c r="H51" s="12" t="s">
        <v>35</v>
      </c>
      <c r="I51" s="12" t="s">
        <v>36</v>
      </c>
      <c r="J51" s="12" t="s">
        <v>37</v>
      </c>
      <c r="K51" s="12" t="s">
        <v>57</v>
      </c>
      <c r="L51" s="12" t="s">
        <v>38</v>
      </c>
      <c r="M51" s="12" t="s">
        <v>39</v>
      </c>
      <c r="N51" s="12" t="s">
        <v>40</v>
      </c>
      <c r="O51" s="12" t="s">
        <v>41</v>
      </c>
      <c r="P51" s="12" t="s">
        <v>42</v>
      </c>
      <c r="Q51" s="2"/>
    </row>
    <row r="52" spans="1:17" ht="18" x14ac:dyDescent="0.25">
      <c r="A52" s="13" t="s">
        <v>15</v>
      </c>
      <c r="B52" s="14">
        <v>1176</v>
      </c>
      <c r="C52" s="14">
        <v>1312</v>
      </c>
      <c r="D52" s="14">
        <v>1358</v>
      </c>
      <c r="E52" s="14">
        <v>1493</v>
      </c>
      <c r="F52" s="14">
        <v>1539</v>
      </c>
      <c r="G52" s="14">
        <v>1673</v>
      </c>
      <c r="H52" s="14">
        <v>1719</v>
      </c>
      <c r="I52" s="14">
        <v>1946</v>
      </c>
      <c r="J52" s="14">
        <v>2081</v>
      </c>
      <c r="K52" s="14">
        <v>2263</v>
      </c>
      <c r="L52" s="14">
        <v>2398</v>
      </c>
      <c r="M52" s="14">
        <f>((2177+2177*0.1)*1.1)*1.04</f>
        <v>2740</v>
      </c>
      <c r="N52" s="14">
        <f>((2767+2767*0.1)*1.1)*1.04</f>
        <v>3482</v>
      </c>
      <c r="O52" s="14">
        <f>((3201+3201*0.1)*1.1)*1.04</f>
        <v>4028</v>
      </c>
      <c r="P52" s="14">
        <f>((3628+3628*0.1)*1.1)*1.04</f>
        <v>4565</v>
      </c>
      <c r="Q52" s="2"/>
    </row>
    <row r="53" spans="1:17" ht="18" customHeight="1" x14ac:dyDescent="0.25">
      <c r="A53" s="5" t="s">
        <v>55</v>
      </c>
      <c r="B53" s="6">
        <v>1488</v>
      </c>
      <c r="C53" s="6">
        <v>1661</v>
      </c>
      <c r="D53" s="6">
        <v>1718</v>
      </c>
      <c r="E53" s="6">
        <v>1890</v>
      </c>
      <c r="F53" s="6">
        <v>1947</v>
      </c>
      <c r="G53" s="6">
        <v>2118</v>
      </c>
      <c r="H53" s="6">
        <v>2176</v>
      </c>
      <c r="I53" s="6">
        <v>2463</v>
      </c>
      <c r="J53" s="6">
        <v>2633</v>
      </c>
      <c r="K53" s="6">
        <v>2863</v>
      </c>
      <c r="L53" s="6">
        <v>3035</v>
      </c>
      <c r="M53" s="6">
        <f>((2655+2655*0.1)*1.1)*1.04</f>
        <v>3341</v>
      </c>
      <c r="N53" s="6">
        <f>((3239+3239*0.1)*1.1)*1.04</f>
        <v>4076</v>
      </c>
      <c r="O53" s="6">
        <f>((3714+3714*0.1)*1.1)*1.04</f>
        <v>4674</v>
      </c>
      <c r="P53" s="6">
        <f>((4098+4098*0.1)*1.1)*1.04</f>
        <v>5157</v>
      </c>
      <c r="Q53" s="2"/>
    </row>
    <row r="54" spans="1:17" ht="18.75" customHeight="1" x14ac:dyDescent="0.25">
      <c r="A54" s="7" t="s">
        <v>16</v>
      </c>
      <c r="B54" s="14">
        <v>1681</v>
      </c>
      <c r="C54" s="14">
        <v>1874</v>
      </c>
      <c r="D54" s="14">
        <v>1940</v>
      </c>
      <c r="E54" s="14">
        <v>2134</v>
      </c>
      <c r="F54" s="14">
        <v>2198</v>
      </c>
      <c r="G54" s="14">
        <v>2391</v>
      </c>
      <c r="H54" s="14">
        <v>2455</v>
      </c>
      <c r="I54" s="14">
        <v>2779</v>
      </c>
      <c r="J54" s="14">
        <v>2972</v>
      </c>
      <c r="K54" s="14">
        <v>3232</v>
      </c>
      <c r="L54" s="14">
        <v>3425</v>
      </c>
      <c r="M54" s="14">
        <f>((3083+3083*0.1)*1.1)*1.04</f>
        <v>3880</v>
      </c>
      <c r="N54" s="14">
        <f>((3680+3680*0.1)*1.1)*1.04</f>
        <v>4631</v>
      </c>
      <c r="O54" s="14">
        <f>((4758+4758*0.1)*1.1)*1.04</f>
        <v>5987</v>
      </c>
      <c r="P54" s="14">
        <f>((5379+5379*0.1)*1.1)*1.04</f>
        <v>6769</v>
      </c>
      <c r="Q54" s="2"/>
    </row>
    <row r="55" spans="1:17" ht="15" customHeight="1" x14ac:dyDescent="0.25">
      <c r="A55" s="5" t="s">
        <v>17</v>
      </c>
      <c r="B55" s="6">
        <v>1106</v>
      </c>
      <c r="C55" s="6">
        <v>1232</v>
      </c>
      <c r="D55" s="6">
        <v>1276</v>
      </c>
      <c r="E55" s="6">
        <v>1403</v>
      </c>
      <c r="F55" s="6">
        <v>1445</v>
      </c>
      <c r="G55" s="6">
        <v>1574</v>
      </c>
      <c r="H55" s="6">
        <v>1615</v>
      </c>
      <c r="I55" s="6">
        <v>1827</v>
      </c>
      <c r="J55" s="6">
        <v>1955</v>
      </c>
      <c r="K55" s="6">
        <v>2126</v>
      </c>
      <c r="L55" s="6">
        <v>2253</v>
      </c>
      <c r="M55" s="6">
        <v>2423</v>
      </c>
      <c r="N55" s="6">
        <f>((2198+2198*0.1)*1.1)*1.04</f>
        <v>2766</v>
      </c>
      <c r="O55" s="6">
        <f>((2514+2514*0.1)*1.1)*1.04</f>
        <v>3164</v>
      </c>
      <c r="P55" s="6">
        <f>((2910+2910*0.1)*1.1)*1.04</f>
        <v>3662</v>
      </c>
      <c r="Q55" s="2"/>
    </row>
    <row r="56" spans="1:17" ht="18" x14ac:dyDescent="0.25">
      <c r="A56" s="7" t="s">
        <v>53</v>
      </c>
      <c r="B56" s="14">
        <v>1295</v>
      </c>
      <c r="C56" s="14">
        <v>1445</v>
      </c>
      <c r="D56" s="14">
        <v>1496</v>
      </c>
      <c r="E56" s="14">
        <v>1644</v>
      </c>
      <c r="F56" s="14">
        <v>1694</v>
      </c>
      <c r="G56" s="14">
        <v>1843</v>
      </c>
      <c r="H56" s="14">
        <v>1894</v>
      </c>
      <c r="I56" s="14">
        <v>2142</v>
      </c>
      <c r="J56" s="14">
        <v>2291</v>
      </c>
      <c r="K56" s="14">
        <v>2492</v>
      </c>
      <c r="L56" s="14">
        <v>2641</v>
      </c>
      <c r="M56" s="14">
        <f>((2335+2335*0.1)*1.1)*1.04</f>
        <v>2938</v>
      </c>
      <c r="N56" s="14">
        <f>((3020+3020*0.1)*1.1)*1.04</f>
        <v>3800</v>
      </c>
      <c r="O56" s="14">
        <f>((3316+3316*0.1)*1.1)*1.04</f>
        <v>4173</v>
      </c>
      <c r="P56" s="14">
        <f>((3779+3779*0.1)*1.1)*1.04</f>
        <v>4755</v>
      </c>
      <c r="Q56" s="2"/>
    </row>
    <row r="57" spans="1:17" ht="18" x14ac:dyDescent="0.25">
      <c r="A57" s="5" t="s">
        <v>18</v>
      </c>
      <c r="B57" s="6">
        <v>1482</v>
      </c>
      <c r="C57" s="6">
        <v>1652</v>
      </c>
      <c r="D57" s="6">
        <v>1709</v>
      </c>
      <c r="E57" s="6">
        <v>1879</v>
      </c>
      <c r="F57" s="6">
        <v>1936</v>
      </c>
      <c r="G57" s="6">
        <v>2108</v>
      </c>
      <c r="H57" s="6">
        <v>2164</v>
      </c>
      <c r="I57" s="6">
        <v>2449</v>
      </c>
      <c r="J57" s="6">
        <v>2621</v>
      </c>
      <c r="K57" s="6">
        <v>2849</v>
      </c>
      <c r="L57" s="6">
        <v>3019</v>
      </c>
      <c r="M57" s="6">
        <f>((2703+2703*0.1)*1.1)*1.04</f>
        <v>3401</v>
      </c>
      <c r="N57" s="6">
        <f>((3531+3531*0.1)*1.1)*1.04</f>
        <v>4443</v>
      </c>
      <c r="O57" s="6">
        <f>((3914+3914*0.1)*1.1)*1.04</f>
        <v>4925</v>
      </c>
      <c r="P57" s="6">
        <f>((4550+4550*0.1)*1.1)*1.04</f>
        <v>5726</v>
      </c>
      <c r="Q57" s="2"/>
    </row>
    <row r="58" spans="1:17" ht="18" x14ac:dyDescent="0.25">
      <c r="A58" s="7" t="s">
        <v>19</v>
      </c>
      <c r="B58" s="14">
        <v>705</v>
      </c>
      <c r="C58" s="14">
        <v>786</v>
      </c>
      <c r="D58" s="14">
        <v>813</v>
      </c>
      <c r="E58" s="14">
        <v>894</v>
      </c>
      <c r="F58" s="14">
        <v>922</v>
      </c>
      <c r="G58" s="14">
        <v>1004</v>
      </c>
      <c r="H58" s="14">
        <v>1031</v>
      </c>
      <c r="I58" s="14">
        <v>1166</v>
      </c>
      <c r="J58" s="14">
        <v>1247</v>
      </c>
      <c r="K58" s="14">
        <v>1356</v>
      </c>
      <c r="L58" s="14">
        <v>1437</v>
      </c>
      <c r="M58" s="14">
        <f>((1469+1469*0.1)*1.1)*1.04</f>
        <v>1849</v>
      </c>
      <c r="N58" s="14">
        <f>((1689+1689*0.1)*1.1)*1.04</f>
        <v>2125</v>
      </c>
      <c r="O58" s="14">
        <f>((1942+1942*0.1)*1.1)*1.04</f>
        <v>2444</v>
      </c>
      <c r="P58" s="14">
        <f>((2206+2206*0.1)*1.1)*1.04</f>
        <v>2776</v>
      </c>
      <c r="Q58" s="2"/>
    </row>
    <row r="59" spans="1:17" ht="18" x14ac:dyDescent="0.25">
      <c r="A59" s="5" t="s">
        <v>54</v>
      </c>
      <c r="B59" s="6">
        <v>788</v>
      </c>
      <c r="C59" s="6">
        <v>880</v>
      </c>
      <c r="D59" s="6">
        <v>910</v>
      </c>
      <c r="E59" s="6">
        <v>1002</v>
      </c>
      <c r="F59" s="6">
        <v>1031</v>
      </c>
      <c r="G59" s="6">
        <v>1122</v>
      </c>
      <c r="H59" s="6">
        <v>1152</v>
      </c>
      <c r="I59" s="6">
        <v>1304</v>
      </c>
      <c r="J59" s="6">
        <v>1395</v>
      </c>
      <c r="K59" s="6">
        <v>1622</v>
      </c>
      <c r="L59" s="6">
        <v>1721</v>
      </c>
      <c r="M59" s="6">
        <f>(((1742+1742*0.1)*1.1)*1.1)*1.04</f>
        <v>2411</v>
      </c>
      <c r="N59" s="6">
        <f>(((2078+2078*0.1)*1.1)*1.1)*1.04</f>
        <v>2876</v>
      </c>
      <c r="O59" s="6">
        <f>(((2199+2199*0.1)*1.1)*1.1)*1.04</f>
        <v>3044</v>
      </c>
      <c r="P59" s="6">
        <f>(((2433+2433*0.1)*1.1)*1.1)*1.04</f>
        <v>3368</v>
      </c>
      <c r="Q59" s="2"/>
    </row>
    <row r="60" spans="1:17" ht="18" x14ac:dyDescent="0.25">
      <c r="A60" s="7" t="s">
        <v>20</v>
      </c>
      <c r="B60" s="14">
        <v>848</v>
      </c>
      <c r="C60" s="14">
        <v>946</v>
      </c>
      <c r="D60" s="14">
        <v>979</v>
      </c>
      <c r="E60" s="14">
        <v>1076</v>
      </c>
      <c r="F60" s="14">
        <v>1109</v>
      </c>
      <c r="G60" s="14">
        <v>1207</v>
      </c>
      <c r="H60" s="14">
        <v>1239</v>
      </c>
      <c r="I60" s="14">
        <v>1403</v>
      </c>
      <c r="J60" s="14">
        <v>1500</v>
      </c>
      <c r="K60" s="24">
        <v>1745</v>
      </c>
      <c r="L60" s="24">
        <v>1849</v>
      </c>
      <c r="M60" s="14">
        <f>(((1931+1931*0.1)*1.1)*1.05)*1.04</f>
        <v>2551</v>
      </c>
      <c r="N60" s="14">
        <f>(((2331+2331*0.1)*1.1)*1.05)*1.04</f>
        <v>3080</v>
      </c>
      <c r="O60" s="14">
        <f>(((2426+2426*0.1)*1.1)*1.05)*1.04</f>
        <v>3206</v>
      </c>
      <c r="P60" s="14">
        <f>(((2633+2633*0.1)*1.1)*1.05)*1.04</f>
        <v>3479</v>
      </c>
      <c r="Q60" s="2"/>
    </row>
    <row r="61" spans="1:17" ht="18" x14ac:dyDescent="0.25">
      <c r="A61" s="5" t="s">
        <v>21</v>
      </c>
      <c r="B61" s="6">
        <v>620</v>
      </c>
      <c r="C61" s="6">
        <v>693</v>
      </c>
      <c r="D61" s="6">
        <v>717</v>
      </c>
      <c r="E61" s="6">
        <v>787</v>
      </c>
      <c r="F61" s="6">
        <v>811</v>
      </c>
      <c r="G61" s="6">
        <v>882</v>
      </c>
      <c r="H61" s="6">
        <v>906</v>
      </c>
      <c r="I61" s="6">
        <v>1026</v>
      </c>
      <c r="J61" s="6">
        <v>1097</v>
      </c>
      <c r="K61" s="6">
        <v>1193</v>
      </c>
      <c r="L61" s="6">
        <v>1265</v>
      </c>
      <c r="M61" s="6">
        <f>((1075+1075*0.1)*1.1)*1.04</f>
        <v>1353</v>
      </c>
      <c r="N61" s="6">
        <f>((1316+1316*0.1)*1.1)*1.04</f>
        <v>1656</v>
      </c>
      <c r="O61" s="6">
        <f>((1505+1505*0.1)*1.1)*1.04</f>
        <v>1894</v>
      </c>
      <c r="P61" s="6">
        <f>((1722+1722*0.1)*1.1)*1.04</f>
        <v>2167</v>
      </c>
      <c r="Q61" s="2"/>
    </row>
    <row r="62" spans="1:17" ht="18" x14ac:dyDescent="0.25">
      <c r="A62" s="7" t="s">
        <v>52</v>
      </c>
      <c r="B62" s="14">
        <v>728</v>
      </c>
      <c r="C62" s="14">
        <v>811</v>
      </c>
      <c r="D62" s="14">
        <v>839</v>
      </c>
      <c r="E62" s="14">
        <v>924</v>
      </c>
      <c r="F62" s="14">
        <v>951</v>
      </c>
      <c r="G62" s="14">
        <v>1036</v>
      </c>
      <c r="H62" s="14">
        <v>1063</v>
      </c>
      <c r="I62" s="14">
        <v>1202</v>
      </c>
      <c r="J62" s="14">
        <v>1288</v>
      </c>
      <c r="K62" s="24">
        <v>1497</v>
      </c>
      <c r="L62" s="24">
        <v>1587</v>
      </c>
      <c r="M62" s="24">
        <f>(((1342+1342*0.1)*1.1)*1.04)*1.07</f>
        <v>1807</v>
      </c>
      <c r="N62" s="14">
        <f>((1704+1704*0.1)*1.1)*1.04</f>
        <v>2144</v>
      </c>
      <c r="O62" s="14">
        <f>((1921+1921*0.1)*1.1)*1.04</f>
        <v>2417</v>
      </c>
      <c r="P62" s="14">
        <f>((2187+2187*0.1)*1.1)*1.04</f>
        <v>2752</v>
      </c>
      <c r="Q62" s="2"/>
    </row>
    <row r="63" spans="1:17" ht="18" x14ac:dyDescent="0.25">
      <c r="A63" s="5" t="s">
        <v>22</v>
      </c>
      <c r="B63" s="6">
        <v>803</v>
      </c>
      <c r="C63" s="6">
        <v>895</v>
      </c>
      <c r="D63" s="6">
        <v>927</v>
      </c>
      <c r="E63" s="6">
        <v>1019</v>
      </c>
      <c r="F63" s="6">
        <v>1050</v>
      </c>
      <c r="G63" s="6">
        <v>1143</v>
      </c>
      <c r="H63" s="6">
        <v>1174</v>
      </c>
      <c r="I63" s="6">
        <v>1328</v>
      </c>
      <c r="J63" s="6">
        <v>1421</v>
      </c>
      <c r="K63" s="6">
        <v>1652</v>
      </c>
      <c r="L63" s="6">
        <v>1752</v>
      </c>
      <c r="M63" s="6">
        <f>(((1525+1525*0.1)*1.1)*1.04)*1.07</f>
        <v>2053</v>
      </c>
      <c r="N63" s="6">
        <f>((1953+1953*0.1)*1.1)*1.04</f>
        <v>2458</v>
      </c>
      <c r="O63" s="6">
        <f>((2353+2353*0.1)*1.1)*1.04</f>
        <v>2961</v>
      </c>
      <c r="P63" s="6">
        <f>((2663+2663*0.1)*1.1)*1.04</f>
        <v>3351</v>
      </c>
      <c r="Q63" s="2"/>
    </row>
    <row r="64" spans="1:17" ht="18" x14ac:dyDescent="0.25">
      <c r="A64" s="7" t="s">
        <v>23</v>
      </c>
      <c r="B64" s="14">
        <v>476</v>
      </c>
      <c r="C64" s="14">
        <v>530</v>
      </c>
      <c r="D64" s="14">
        <v>549</v>
      </c>
      <c r="E64" s="14">
        <v>604</v>
      </c>
      <c r="F64" s="14">
        <v>622</v>
      </c>
      <c r="G64" s="14">
        <v>677</v>
      </c>
      <c r="H64" s="14">
        <v>696</v>
      </c>
      <c r="I64" s="14">
        <v>787</v>
      </c>
      <c r="J64" s="14">
        <v>842</v>
      </c>
      <c r="K64" s="14">
        <v>915</v>
      </c>
      <c r="L64" s="14">
        <v>970</v>
      </c>
      <c r="M64" s="14">
        <f>((904+904*0.1)*1.1)*1.04</f>
        <v>1138</v>
      </c>
      <c r="N64" s="14">
        <f>((1030+1030*0.1)*1.1)*1.04</f>
        <v>1296</v>
      </c>
      <c r="O64" s="14">
        <f>((1114+1114*0.1)*1.1)*1.04</f>
        <v>1402</v>
      </c>
      <c r="P64" s="14">
        <f>((1197+1197*0.1)*1.1)*1.04</f>
        <v>1506</v>
      </c>
      <c r="Q64" s="2"/>
    </row>
    <row r="65" spans="1:18" ht="18" x14ac:dyDescent="0.25">
      <c r="A65" s="5" t="s">
        <v>51</v>
      </c>
      <c r="B65" s="6">
        <v>550</v>
      </c>
      <c r="C65" s="6">
        <v>615</v>
      </c>
      <c r="D65" s="6">
        <v>635</v>
      </c>
      <c r="E65" s="6">
        <v>699</v>
      </c>
      <c r="F65" s="6">
        <v>720</v>
      </c>
      <c r="G65" s="6">
        <v>784</v>
      </c>
      <c r="H65" s="6">
        <v>804</v>
      </c>
      <c r="I65" s="6">
        <v>911</v>
      </c>
      <c r="J65" s="6">
        <v>973</v>
      </c>
      <c r="K65" s="6">
        <v>1059</v>
      </c>
      <c r="L65" s="6">
        <v>1122</v>
      </c>
      <c r="M65" s="6">
        <f>(((1091+1091*0.1)*1.1)*1.05)*1.04</f>
        <v>1442</v>
      </c>
      <c r="N65" s="6">
        <f>(((1284+1284*0.1)*1.1)*1.05)*1.04</f>
        <v>1697</v>
      </c>
      <c r="O65" s="6">
        <f>(((1360+1360*0.1)*1.1)*1.05)*1.04</f>
        <v>1797</v>
      </c>
      <c r="P65" s="6">
        <f>(((1451+1451*0.1)*1.1)*1.05)*1.04</f>
        <v>1917</v>
      </c>
      <c r="Q65" s="2"/>
    </row>
    <row r="66" spans="1:18" ht="18" x14ac:dyDescent="0.25">
      <c r="A66" s="7" t="s">
        <v>24</v>
      </c>
      <c r="B66" s="14">
        <v>609</v>
      </c>
      <c r="C66" s="14">
        <v>681</v>
      </c>
      <c r="D66" s="14">
        <v>704</v>
      </c>
      <c r="E66" s="14">
        <v>775</v>
      </c>
      <c r="F66" s="14">
        <v>798</v>
      </c>
      <c r="G66" s="14">
        <v>868</v>
      </c>
      <c r="H66" s="14">
        <v>891</v>
      </c>
      <c r="I66" s="14">
        <v>1009</v>
      </c>
      <c r="J66" s="14">
        <v>1078</v>
      </c>
      <c r="K66" s="14">
        <v>1173</v>
      </c>
      <c r="L66" s="14">
        <v>1244</v>
      </c>
      <c r="M66" s="14">
        <f>(((1211+1211*0.1)*1.1)*1.05)*1.04</f>
        <v>1600</v>
      </c>
      <c r="N66" s="14">
        <f>(((1460+1460*0.1)*1.1)*1.05)*1.04</f>
        <v>1929</v>
      </c>
      <c r="O66" s="14">
        <f>(((1540+1540*0.1)*1.1)*1.05)*1.04</f>
        <v>2035</v>
      </c>
      <c r="P66" s="14">
        <f>(((1725+1725*0.1)*1.1)*1.05)*1.04</f>
        <v>2279</v>
      </c>
      <c r="Q66" s="2"/>
      <c r="R66" s="15"/>
    </row>
    <row r="67" spans="1:18" ht="18" x14ac:dyDescent="0.25">
      <c r="A67" s="5" t="s">
        <v>25</v>
      </c>
      <c r="B67" s="6">
        <v>461</v>
      </c>
      <c r="C67" s="6">
        <v>515</v>
      </c>
      <c r="D67" s="6">
        <v>532</v>
      </c>
      <c r="E67" s="6">
        <v>586</v>
      </c>
      <c r="F67" s="6">
        <v>603</v>
      </c>
      <c r="G67" s="6">
        <v>656</v>
      </c>
      <c r="H67" s="6">
        <v>674</v>
      </c>
      <c r="I67" s="6">
        <v>763</v>
      </c>
      <c r="J67" s="6">
        <v>815</v>
      </c>
      <c r="K67" s="6">
        <v>887</v>
      </c>
      <c r="L67" s="6">
        <v>940</v>
      </c>
      <c r="M67" s="6">
        <v>1011</v>
      </c>
      <c r="N67" s="6">
        <v>1170</v>
      </c>
      <c r="O67" s="6">
        <v>1366</v>
      </c>
      <c r="P67" s="6">
        <v>1525</v>
      </c>
      <c r="Q67" s="2"/>
    </row>
    <row r="68" spans="1:18" ht="18" x14ac:dyDescent="0.25">
      <c r="A68" s="7" t="s">
        <v>26</v>
      </c>
      <c r="B68" s="14">
        <v>536</v>
      </c>
      <c r="C68" s="14">
        <v>597</v>
      </c>
      <c r="D68" s="14">
        <v>618</v>
      </c>
      <c r="E68" s="14">
        <v>679</v>
      </c>
      <c r="F68" s="14">
        <v>700</v>
      </c>
      <c r="G68" s="14">
        <v>762</v>
      </c>
      <c r="H68" s="14">
        <v>782</v>
      </c>
      <c r="I68" s="14">
        <v>885</v>
      </c>
      <c r="J68" s="14">
        <v>947</v>
      </c>
      <c r="K68" s="14">
        <v>1030</v>
      </c>
      <c r="L68" s="14">
        <v>1091</v>
      </c>
      <c r="M68" s="14">
        <v>1174</v>
      </c>
      <c r="N68" s="14">
        <v>1359</v>
      </c>
      <c r="O68" s="14">
        <v>1586</v>
      </c>
      <c r="P68" s="14">
        <v>1771</v>
      </c>
      <c r="Q68" s="2"/>
    </row>
    <row r="69" spans="1:18" ht="18" x14ac:dyDescent="0.25">
      <c r="A69" s="5" t="s">
        <v>27</v>
      </c>
      <c r="B69" s="6">
        <v>595</v>
      </c>
      <c r="C69" s="6">
        <v>664</v>
      </c>
      <c r="D69" s="6">
        <v>686</v>
      </c>
      <c r="E69" s="6">
        <v>755</v>
      </c>
      <c r="F69" s="6">
        <v>778</v>
      </c>
      <c r="G69" s="6">
        <v>847</v>
      </c>
      <c r="H69" s="6">
        <v>869</v>
      </c>
      <c r="I69" s="6">
        <v>984</v>
      </c>
      <c r="J69" s="6">
        <v>1052</v>
      </c>
      <c r="K69" s="6">
        <v>1144</v>
      </c>
      <c r="L69" s="6">
        <v>1213</v>
      </c>
      <c r="M69" s="6">
        <v>1304</v>
      </c>
      <c r="N69" s="6">
        <v>1510</v>
      </c>
      <c r="O69" s="6">
        <v>1762</v>
      </c>
      <c r="P69" s="6">
        <v>1968</v>
      </c>
      <c r="Q69" s="2"/>
    </row>
    <row r="70" spans="1:18" ht="18" x14ac:dyDescent="0.25">
      <c r="A70" s="7" t="s">
        <v>81</v>
      </c>
      <c r="B70" s="14">
        <v>1301</v>
      </c>
      <c r="C70" s="14">
        <v>1451</v>
      </c>
      <c r="D70" s="14">
        <v>1501</v>
      </c>
      <c r="E70" s="14">
        <v>1650</v>
      </c>
      <c r="F70" s="14">
        <v>1701</v>
      </c>
      <c r="G70" s="14">
        <v>1851</v>
      </c>
      <c r="H70" s="14">
        <v>1901</v>
      </c>
      <c r="I70" s="14">
        <v>2151</v>
      </c>
      <c r="J70" s="14">
        <v>2302</v>
      </c>
      <c r="K70" s="14">
        <v>2502</v>
      </c>
      <c r="L70" s="14">
        <f>((2207+2207*0.1)*1.1)*1.04</f>
        <v>2777</v>
      </c>
      <c r="M70" s="14">
        <f>((3006+3006*0.1)*1.1)*1.04</f>
        <v>3783</v>
      </c>
      <c r="N70" s="14">
        <f>((3349+3349*0.1)*1.1)*1.04</f>
        <v>4214</v>
      </c>
      <c r="O70" s="14">
        <f>((4139+4139*0.1)*1.1)*1.04</f>
        <v>5209</v>
      </c>
      <c r="P70" s="14">
        <f>((4633+4633*0.1)*1.1)*1.04</f>
        <v>5830</v>
      </c>
      <c r="Q70" s="2"/>
    </row>
    <row r="71" spans="1:18" ht="18" x14ac:dyDescent="0.25">
      <c r="A71" s="5" t="s">
        <v>86</v>
      </c>
      <c r="B71" s="6">
        <v>2101</v>
      </c>
      <c r="C71" s="6">
        <v>2251</v>
      </c>
      <c r="D71" s="6">
        <v>2301</v>
      </c>
      <c r="E71" s="6">
        <v>2450</v>
      </c>
      <c r="F71" s="6">
        <v>2501</v>
      </c>
      <c r="G71" s="6">
        <v>2651</v>
      </c>
      <c r="H71" s="6">
        <v>2701</v>
      </c>
      <c r="I71" s="6">
        <v>2951</v>
      </c>
      <c r="J71" s="6">
        <v>3102</v>
      </c>
      <c r="K71" s="6">
        <v>3302</v>
      </c>
      <c r="L71" s="6">
        <f>(((2207+2207*0.1)*1.1)*1.04)+800</f>
        <v>3577</v>
      </c>
      <c r="M71" s="6">
        <f>(((3006+3006*0.1)*1.1)*1.04)+800</f>
        <v>4583</v>
      </c>
      <c r="N71" s="6">
        <f>(((3349+3349*0.1)*1.1)*1.04)+800</f>
        <v>5014</v>
      </c>
      <c r="O71" s="6">
        <f>(((4139+4139*0.1)*1.1)*1.04)+800</f>
        <v>6009</v>
      </c>
      <c r="P71" s="6">
        <f>(((4633+4633*0.1)*1.1)*1.04)+800</f>
        <v>6630</v>
      </c>
      <c r="Q71" s="2"/>
    </row>
    <row r="72" spans="1:18" ht="18" x14ac:dyDescent="0.25">
      <c r="A72" s="16" t="s">
        <v>82</v>
      </c>
      <c r="B72" s="14">
        <v>1487</v>
      </c>
      <c r="C72" s="14">
        <v>1659</v>
      </c>
      <c r="D72" s="14">
        <v>1716</v>
      </c>
      <c r="E72" s="14">
        <v>1888</v>
      </c>
      <c r="F72" s="14">
        <v>1945</v>
      </c>
      <c r="G72" s="14">
        <v>2116</v>
      </c>
      <c r="H72" s="14">
        <v>2174</v>
      </c>
      <c r="I72" s="14">
        <v>2460</v>
      </c>
      <c r="J72" s="14">
        <v>2631</v>
      </c>
      <c r="K72" s="14">
        <v>2860</v>
      </c>
      <c r="L72" s="14">
        <f>((2735+2735*0.1)*1.1)*1.04</f>
        <v>3442</v>
      </c>
      <c r="M72" s="14">
        <f>((3683+3683*0.1)*1.1)*1.04</f>
        <v>4635</v>
      </c>
      <c r="N72" s="14">
        <f>((4133+4133*0.1)*1.1)*1.04</f>
        <v>5201</v>
      </c>
      <c r="O72" s="14">
        <f>((4367+4367*0.1)*1.1)*1.04</f>
        <v>5495</v>
      </c>
      <c r="P72" s="14">
        <f>((5187+5187*0.1)*1.1)*1.04</f>
        <v>6527</v>
      </c>
      <c r="Q72" s="2"/>
    </row>
    <row r="73" spans="1:18" ht="18" x14ac:dyDescent="0.25">
      <c r="A73" s="5" t="s">
        <v>87</v>
      </c>
      <c r="B73" s="6">
        <v>2287</v>
      </c>
      <c r="C73" s="6">
        <v>2459</v>
      </c>
      <c r="D73" s="6">
        <v>2516</v>
      </c>
      <c r="E73" s="6">
        <v>2688</v>
      </c>
      <c r="F73" s="6">
        <v>2745</v>
      </c>
      <c r="G73" s="6">
        <v>2916</v>
      </c>
      <c r="H73" s="6">
        <v>2974</v>
      </c>
      <c r="I73" s="6">
        <v>3260</v>
      </c>
      <c r="J73" s="6">
        <v>3431</v>
      </c>
      <c r="K73" s="6">
        <v>3660</v>
      </c>
      <c r="L73" s="6">
        <f>(((2735+2735*0.1)*1.1)*1.04)+800</f>
        <v>4242</v>
      </c>
      <c r="M73" s="6">
        <f>(((3683+3683*0.1)*1.1)*1.04)+800</f>
        <v>5435</v>
      </c>
      <c r="N73" s="6">
        <f>(((4133+4133*0.1)*1.1)*1.04)+800</f>
        <v>6001</v>
      </c>
      <c r="O73" s="6">
        <f>(((4367+4367*0.1)*1.1)*1.04)+800</f>
        <v>6295</v>
      </c>
      <c r="P73" s="6">
        <f>(((5187+5187*0.1)*1.1)*1.04)+800</f>
        <v>7327</v>
      </c>
      <c r="Q73" s="2"/>
    </row>
    <row r="74" spans="1:18" ht="18" x14ac:dyDescent="0.25">
      <c r="A74" s="7" t="s">
        <v>83</v>
      </c>
      <c r="B74" s="14">
        <v>1636</v>
      </c>
      <c r="C74" s="14">
        <v>1825</v>
      </c>
      <c r="D74" s="14">
        <v>1888</v>
      </c>
      <c r="E74" s="14">
        <v>2077</v>
      </c>
      <c r="F74" s="14">
        <v>2139</v>
      </c>
      <c r="G74" s="14">
        <v>2329</v>
      </c>
      <c r="H74" s="14">
        <v>2391</v>
      </c>
      <c r="I74" s="14">
        <v>2706</v>
      </c>
      <c r="J74" s="14">
        <v>2894</v>
      </c>
      <c r="K74" s="14">
        <v>3146</v>
      </c>
      <c r="L74" s="14">
        <f>((3082+3082*0.1)*1.1)*1.04</f>
        <v>3878</v>
      </c>
      <c r="M74" s="14">
        <f>((4126+4126*0.1)*1.1)*1.04</f>
        <v>5192</v>
      </c>
      <c r="N74" s="14">
        <f>((4791+4791*0.1)*1.1)*1.04</f>
        <v>6029</v>
      </c>
      <c r="O74" s="14">
        <f>((5193+5193*0.1)*1.1)*1.04</f>
        <v>6535</v>
      </c>
      <c r="P74" s="14">
        <f>((6026+6026*0.1)*1.1)*1.04</f>
        <v>7583</v>
      </c>
      <c r="Q74" s="2"/>
    </row>
    <row r="75" spans="1:18" ht="18" x14ac:dyDescent="0.25">
      <c r="A75" s="5" t="s">
        <v>88</v>
      </c>
      <c r="B75" s="6">
        <v>2436</v>
      </c>
      <c r="C75" s="6">
        <v>2625</v>
      </c>
      <c r="D75" s="6">
        <v>2688</v>
      </c>
      <c r="E75" s="6">
        <v>2877</v>
      </c>
      <c r="F75" s="6">
        <v>2939</v>
      </c>
      <c r="G75" s="6">
        <v>3129</v>
      </c>
      <c r="H75" s="6">
        <v>3191</v>
      </c>
      <c r="I75" s="6">
        <v>3506</v>
      </c>
      <c r="J75" s="6">
        <v>3694</v>
      </c>
      <c r="K75" s="6">
        <v>3946</v>
      </c>
      <c r="L75" s="6">
        <f>(((3082+3082*0.1)*1.1)*1.04)+800</f>
        <v>4678</v>
      </c>
      <c r="M75" s="6">
        <f>(((4126+4126*0.1)*1.1)*1.04)+800</f>
        <v>5992</v>
      </c>
      <c r="N75" s="6">
        <f>(((4791+4791*0.1)*1.1)*1.04)+800</f>
        <v>6829</v>
      </c>
      <c r="O75" s="6">
        <f>(((5193+5193*0.1)*1.1)*1.04)+800</f>
        <v>7335</v>
      </c>
      <c r="P75" s="6">
        <f>(((6026+6026*0.1)*1.1)*1.04)+800</f>
        <v>8383</v>
      </c>
      <c r="Q75" s="2"/>
    </row>
    <row r="76" spans="1:18" ht="18" x14ac:dyDescent="0.25">
      <c r="A76" s="16" t="s">
        <v>84</v>
      </c>
      <c r="B76" s="14">
        <v>1249</v>
      </c>
      <c r="C76" s="14">
        <v>1394</v>
      </c>
      <c r="D76" s="14">
        <v>1442</v>
      </c>
      <c r="E76" s="14">
        <v>1586</v>
      </c>
      <c r="F76" s="14">
        <v>1634</v>
      </c>
      <c r="G76" s="14">
        <v>1778</v>
      </c>
      <c r="H76" s="14">
        <v>1826</v>
      </c>
      <c r="I76" s="14">
        <v>2066</v>
      </c>
      <c r="J76" s="14">
        <v>2210</v>
      </c>
      <c r="K76" s="14">
        <v>2403</v>
      </c>
      <c r="L76" s="14">
        <v>2547</v>
      </c>
      <c r="M76" s="14">
        <f>((2233+2233*0.1)*1.1)*1.04</f>
        <v>2810</v>
      </c>
      <c r="N76" s="14">
        <f>((2563+2563*0.1)*1.1)*1.04</f>
        <v>3225</v>
      </c>
      <c r="O76" s="14">
        <f>((3172+3172*0.1)*1.1)*1.04</f>
        <v>3992</v>
      </c>
      <c r="P76" s="14">
        <f>((4175+4175*0.1)*1.1)*1.04</f>
        <v>5254</v>
      </c>
      <c r="Q76" s="2"/>
    </row>
    <row r="77" spans="1:18" ht="18" x14ac:dyDescent="0.25">
      <c r="A77" s="5" t="s">
        <v>89</v>
      </c>
      <c r="B77" s="6">
        <v>2049</v>
      </c>
      <c r="C77" s="6">
        <v>2194</v>
      </c>
      <c r="D77" s="6">
        <v>2242</v>
      </c>
      <c r="E77" s="6">
        <v>2386</v>
      </c>
      <c r="F77" s="6">
        <v>2434</v>
      </c>
      <c r="G77" s="6">
        <v>2578</v>
      </c>
      <c r="H77" s="6">
        <v>2626</v>
      </c>
      <c r="I77" s="6">
        <v>2866</v>
      </c>
      <c r="J77" s="6">
        <v>3010</v>
      </c>
      <c r="K77" s="6">
        <v>3203</v>
      </c>
      <c r="L77" s="6">
        <v>3347</v>
      </c>
      <c r="M77" s="6">
        <f>(((2233+2233*0.1)*1.1)*1.04)+800</f>
        <v>3610</v>
      </c>
      <c r="N77" s="6">
        <f>(((2563+2563*0.1)*1.1)*1.04)+800</f>
        <v>4025</v>
      </c>
      <c r="O77" s="6">
        <f>(((3172+3172*0.1)*1.1)*1.04)+800</f>
        <v>4792</v>
      </c>
      <c r="P77" s="6">
        <f>(((4175+4175*0.1)*1.1)*1.04)+800</f>
        <v>6054</v>
      </c>
      <c r="Q77" s="2"/>
    </row>
    <row r="78" spans="1:18" ht="18" x14ac:dyDescent="0.25">
      <c r="A78" s="7" t="s">
        <v>85</v>
      </c>
      <c r="B78" s="14">
        <v>1406</v>
      </c>
      <c r="C78" s="14">
        <v>1567</v>
      </c>
      <c r="D78" s="14">
        <v>1622</v>
      </c>
      <c r="E78" s="14">
        <v>1784</v>
      </c>
      <c r="F78" s="14">
        <v>1839</v>
      </c>
      <c r="G78" s="14">
        <v>2000</v>
      </c>
      <c r="H78" s="14">
        <v>2055</v>
      </c>
      <c r="I78" s="14">
        <v>2324</v>
      </c>
      <c r="J78" s="14">
        <v>2487</v>
      </c>
      <c r="K78" s="14">
        <v>2703</v>
      </c>
      <c r="L78" s="14">
        <v>2864</v>
      </c>
      <c r="M78" s="14">
        <f>((2910+2910*0.1)*1.1)*1.04</f>
        <v>3662</v>
      </c>
      <c r="N78" s="14">
        <f>((3355+3355*0.1)*1.1)*1.04</f>
        <v>4222</v>
      </c>
      <c r="O78" s="14">
        <f>((3401+3401*0.1)*1.1)*1.04</f>
        <v>4280</v>
      </c>
      <c r="P78" s="14">
        <f>((4929+4929*0.1)*1.1)*1.04</f>
        <v>6203</v>
      </c>
      <c r="Q78" s="2"/>
    </row>
    <row r="79" spans="1:18" ht="18" x14ac:dyDescent="0.25">
      <c r="A79" s="5" t="s">
        <v>99</v>
      </c>
      <c r="B79" s="6">
        <v>2206</v>
      </c>
      <c r="C79" s="6">
        <v>2367</v>
      </c>
      <c r="D79" s="6">
        <v>2422</v>
      </c>
      <c r="E79" s="6">
        <v>2584</v>
      </c>
      <c r="F79" s="6">
        <v>2639</v>
      </c>
      <c r="G79" s="6">
        <v>2800</v>
      </c>
      <c r="H79" s="6">
        <v>2855</v>
      </c>
      <c r="I79" s="6">
        <v>3124</v>
      </c>
      <c r="J79" s="6">
        <v>3287</v>
      </c>
      <c r="K79" s="6">
        <v>3503</v>
      </c>
      <c r="L79" s="6">
        <v>3664</v>
      </c>
      <c r="M79" s="6">
        <f>(((2910+2910*0.1)*1.1)*1.04)+800</f>
        <v>4462</v>
      </c>
      <c r="N79" s="6">
        <f>(((3355+3355*0.1)*1.1)*1.04)+800</f>
        <v>5022</v>
      </c>
      <c r="O79" s="6">
        <f>(((3401+3401*0.1)*1.1)*1.04)+800</f>
        <v>5080</v>
      </c>
      <c r="P79" s="6">
        <f>(((4929+4929*0.1)*1.1)*1.04)+800</f>
        <v>7003</v>
      </c>
      <c r="Q79" s="2"/>
    </row>
    <row r="80" spans="1:18" ht="18" x14ac:dyDescent="0.25">
      <c r="A80" s="16" t="s">
        <v>100</v>
      </c>
      <c r="B80" s="14">
        <v>1546</v>
      </c>
      <c r="C80" s="14">
        <v>1725</v>
      </c>
      <c r="D80" s="14">
        <v>1785</v>
      </c>
      <c r="E80" s="14">
        <v>1964</v>
      </c>
      <c r="F80" s="14">
        <v>2023</v>
      </c>
      <c r="G80" s="14">
        <v>2201</v>
      </c>
      <c r="H80" s="14">
        <v>2261</v>
      </c>
      <c r="I80" s="14">
        <v>2558</v>
      </c>
      <c r="J80" s="14">
        <v>2736</v>
      </c>
      <c r="K80" s="14">
        <v>2974</v>
      </c>
      <c r="L80" s="14">
        <v>3153</v>
      </c>
      <c r="M80" s="14">
        <f>((3368+3368*0.1)*1.1)*1.04</f>
        <v>4238</v>
      </c>
      <c r="N80" s="14">
        <f>((4017+4017*0.1)*1.1)*1.04</f>
        <v>5055</v>
      </c>
      <c r="O80" s="14">
        <f>((4642+4642*0.1)*1.1)*1.04</f>
        <v>5841</v>
      </c>
      <c r="P80" s="14">
        <f>((5639+5639*0.1)*1.1)*1.04</f>
        <v>7096</v>
      </c>
      <c r="Q80" s="2"/>
    </row>
    <row r="81" spans="1:17" ht="18" x14ac:dyDescent="0.25">
      <c r="A81" s="5" t="s">
        <v>101</v>
      </c>
      <c r="B81" s="6">
        <v>2346</v>
      </c>
      <c r="C81" s="6">
        <v>2525</v>
      </c>
      <c r="D81" s="6">
        <v>2585</v>
      </c>
      <c r="E81" s="6">
        <v>2764</v>
      </c>
      <c r="F81" s="6">
        <v>2823</v>
      </c>
      <c r="G81" s="6">
        <v>3001</v>
      </c>
      <c r="H81" s="6">
        <v>3061</v>
      </c>
      <c r="I81" s="6">
        <v>3358</v>
      </c>
      <c r="J81" s="6">
        <v>3536</v>
      </c>
      <c r="K81" s="6">
        <v>3774</v>
      </c>
      <c r="L81" s="6">
        <v>3953</v>
      </c>
      <c r="M81" s="6">
        <f>(((3368+3368*0.1)*1.1)*1.04)+800</f>
        <v>5038</v>
      </c>
      <c r="N81" s="6">
        <f>(((4017+4017*0.1)*1.1)*1.04)+800</f>
        <v>5855</v>
      </c>
      <c r="O81" s="6">
        <f>(((4642+4642*0.1)*1.1)*1.04)+800</f>
        <v>6641</v>
      </c>
      <c r="P81" s="6">
        <f>(((5639+5639*0.1)*1.1)*1.04)+800</f>
        <v>7896</v>
      </c>
      <c r="Q81" s="2"/>
    </row>
    <row r="82" spans="1:17" ht="18" x14ac:dyDescent="0.25">
      <c r="A82" s="7" t="s">
        <v>102</v>
      </c>
      <c r="B82" s="14">
        <v>1512</v>
      </c>
      <c r="C82" s="14">
        <v>1688</v>
      </c>
      <c r="D82" s="14">
        <v>1746</v>
      </c>
      <c r="E82" s="14">
        <v>1920</v>
      </c>
      <c r="F82" s="14">
        <v>1978</v>
      </c>
      <c r="G82" s="14">
        <v>2152</v>
      </c>
      <c r="H82" s="14">
        <v>2210</v>
      </c>
      <c r="I82" s="14">
        <v>2502</v>
      </c>
      <c r="J82" s="14">
        <v>2676</v>
      </c>
      <c r="K82" s="14">
        <v>2909</v>
      </c>
      <c r="L82" s="14">
        <f>((2630+2630*0.1)*1.1)*1.04</f>
        <v>3310</v>
      </c>
      <c r="M82" s="14">
        <f>((3905+3905*0.1)*1.1)*1.04</f>
        <v>4914</v>
      </c>
      <c r="N82" s="14">
        <f>((4572+4572*0.1)*1.1)*1.04</f>
        <v>5753</v>
      </c>
      <c r="O82" s="14">
        <f>((5387+5387*0.1)*1.1)*1.04</f>
        <v>6779</v>
      </c>
      <c r="P82" s="14">
        <f>((7070+7070*0.1)*1.1)*1.04</f>
        <v>8897</v>
      </c>
      <c r="Q82" s="2"/>
    </row>
    <row r="83" spans="1:17" ht="18" x14ac:dyDescent="0.25">
      <c r="A83" s="5" t="s">
        <v>103</v>
      </c>
      <c r="B83" s="6">
        <v>2312</v>
      </c>
      <c r="C83" s="6">
        <v>2488</v>
      </c>
      <c r="D83" s="6">
        <v>2546</v>
      </c>
      <c r="E83" s="6">
        <v>2720</v>
      </c>
      <c r="F83" s="6">
        <v>2778</v>
      </c>
      <c r="G83" s="6">
        <v>2952</v>
      </c>
      <c r="H83" s="6">
        <v>3010</v>
      </c>
      <c r="I83" s="6">
        <v>3302</v>
      </c>
      <c r="J83" s="6">
        <v>3476</v>
      </c>
      <c r="K83" s="6">
        <v>3709</v>
      </c>
      <c r="L83" s="6">
        <f>(((2630+2630*0.1)*1.1)*1.04)+800</f>
        <v>4110</v>
      </c>
      <c r="M83" s="6">
        <f>(((3905+3905*0.1)*1.1)*1.04)+800</f>
        <v>5714</v>
      </c>
      <c r="N83" s="6">
        <f>(((4572+4572*0.1)*1.1)*1.04)+800</f>
        <v>6553</v>
      </c>
      <c r="O83" s="6">
        <f>(((5387+5387*0.1)*1.1)*1.04)+800</f>
        <v>7579</v>
      </c>
      <c r="P83" s="6">
        <f>(((7070+7070*0.1)*1.1)*1.04)+800</f>
        <v>9697</v>
      </c>
      <c r="Q83" s="2"/>
    </row>
    <row r="84" spans="1:17" ht="18" x14ac:dyDescent="0.25">
      <c r="A84" s="16" t="s">
        <v>104</v>
      </c>
      <c r="B84" s="14">
        <v>1743</v>
      </c>
      <c r="C84" s="14">
        <v>1944</v>
      </c>
      <c r="D84" s="14">
        <v>2011</v>
      </c>
      <c r="E84" s="14">
        <v>2212</v>
      </c>
      <c r="F84" s="14">
        <v>2279</v>
      </c>
      <c r="G84" s="14">
        <v>2480</v>
      </c>
      <c r="H84" s="14">
        <v>2548</v>
      </c>
      <c r="I84" s="14">
        <v>2883</v>
      </c>
      <c r="J84" s="14">
        <v>3085</v>
      </c>
      <c r="K84" s="14">
        <v>3352</v>
      </c>
      <c r="L84" s="14">
        <f>((3609+3609*0.1)*1.1)*1.04</f>
        <v>4542</v>
      </c>
      <c r="M84" s="14">
        <f>((4903+4903*0.1)*1.1)*1.04</f>
        <v>6170</v>
      </c>
      <c r="N84" s="14">
        <f>((6288+6288*0.1)*1.1)*1.04</f>
        <v>7913</v>
      </c>
      <c r="O84" s="14">
        <f>((6375+6375*0.1)*1.1)*1.04</f>
        <v>8022</v>
      </c>
      <c r="P84" s="14">
        <f>((7470+7470*0.1)*1.1)*1.04</f>
        <v>9400</v>
      </c>
      <c r="Q84" s="2"/>
    </row>
    <row r="85" spans="1:17" ht="18" x14ac:dyDescent="0.25">
      <c r="A85" s="5" t="s">
        <v>105</v>
      </c>
      <c r="B85" s="6">
        <v>2543</v>
      </c>
      <c r="C85" s="6">
        <v>2744</v>
      </c>
      <c r="D85" s="6">
        <v>2811</v>
      </c>
      <c r="E85" s="6">
        <v>3012</v>
      </c>
      <c r="F85" s="6">
        <v>3079</v>
      </c>
      <c r="G85" s="6">
        <v>3280</v>
      </c>
      <c r="H85" s="6">
        <v>3348</v>
      </c>
      <c r="I85" s="6">
        <v>3683</v>
      </c>
      <c r="J85" s="6">
        <v>3885</v>
      </c>
      <c r="K85" s="6">
        <v>4152</v>
      </c>
      <c r="L85" s="6">
        <f>(((3609+3609*0.1)*1.1)*1.04)+800</f>
        <v>5342</v>
      </c>
      <c r="M85" s="6">
        <f>(((4903+4903*0.1)*1.1)*1.04)+800</f>
        <v>6970</v>
      </c>
      <c r="N85" s="6">
        <f>(((6288+6288*0.1)*1.1)*1.04)+800</f>
        <v>8713</v>
      </c>
      <c r="O85" s="6">
        <f>(((6375+6375*0.1)*1.1)*1.04)+800</f>
        <v>8822</v>
      </c>
      <c r="P85" s="6">
        <f>(((7470+7470*0.1)*1.1)*1.04)+800</f>
        <v>10200</v>
      </c>
      <c r="Q85" s="2"/>
    </row>
    <row r="86" spans="1:17" ht="18" x14ac:dyDescent="0.25">
      <c r="A86" s="7" t="s">
        <v>106</v>
      </c>
      <c r="B86" s="14">
        <v>1899</v>
      </c>
      <c r="C86" s="14">
        <v>2118</v>
      </c>
      <c r="D86" s="14">
        <v>2192</v>
      </c>
      <c r="E86" s="14">
        <v>2411</v>
      </c>
      <c r="F86" s="14">
        <v>2484</v>
      </c>
      <c r="G86" s="14">
        <v>2702</v>
      </c>
      <c r="H86" s="14">
        <v>2776</v>
      </c>
      <c r="I86" s="14">
        <v>3142</v>
      </c>
      <c r="J86" s="14">
        <v>3360</v>
      </c>
      <c r="K86" s="14">
        <v>3652</v>
      </c>
      <c r="L86" s="14">
        <f>((4026+4026*0.1)*1.1)*1.04</f>
        <v>5066</v>
      </c>
      <c r="M86" s="14">
        <f>((5578+5578*0.1)*1.1)*1.04</f>
        <v>7019</v>
      </c>
      <c r="N86" s="14">
        <f>((7429+7429*0.1)*1.1)*1.04</f>
        <v>9349</v>
      </c>
      <c r="O86" s="14">
        <f>((7505+7505*0.1)*1.1)*1.04</f>
        <v>9444</v>
      </c>
      <c r="P86" s="14">
        <f>((7920+7920*0.1)*1.1)*1.04</f>
        <v>9967</v>
      </c>
      <c r="Q86" s="2"/>
    </row>
    <row r="87" spans="1:17" ht="18" x14ac:dyDescent="0.25">
      <c r="A87" s="5" t="s">
        <v>107</v>
      </c>
      <c r="B87" s="6">
        <v>2699</v>
      </c>
      <c r="C87" s="6">
        <v>2918</v>
      </c>
      <c r="D87" s="6">
        <v>2992</v>
      </c>
      <c r="E87" s="6">
        <v>3211</v>
      </c>
      <c r="F87" s="6">
        <v>3284</v>
      </c>
      <c r="G87" s="6">
        <v>3502</v>
      </c>
      <c r="H87" s="6">
        <v>3576</v>
      </c>
      <c r="I87" s="6">
        <v>3942</v>
      </c>
      <c r="J87" s="6">
        <v>4160</v>
      </c>
      <c r="K87" s="6">
        <v>4452</v>
      </c>
      <c r="L87" s="6">
        <f>(((4026+4026*0.1)*1.1)*1.04)+800</f>
        <v>5866</v>
      </c>
      <c r="M87" s="6">
        <f>(((5578+5578*0.1)*1.1)*1.04)+800</f>
        <v>7819</v>
      </c>
      <c r="N87" s="6">
        <f>(((7429+7429*0.1)*1.1)*1.04)+800</f>
        <v>10149</v>
      </c>
      <c r="O87" s="6">
        <f>(((7505+7505*0.1)*1.1)*1.04)+800</f>
        <v>10244</v>
      </c>
      <c r="P87" s="6">
        <f>(((7920+7920*0.1)*1.1)*1.04)+800</f>
        <v>10767</v>
      </c>
      <c r="Q87" s="2"/>
    </row>
    <row r="88" spans="1:17" ht="18" x14ac:dyDescent="0.25">
      <c r="A88" s="16" t="s">
        <v>108</v>
      </c>
      <c r="B88" s="14">
        <v>1466</v>
      </c>
      <c r="C88" s="14">
        <v>1636</v>
      </c>
      <c r="D88" s="14">
        <v>1692</v>
      </c>
      <c r="E88" s="14">
        <v>1862</v>
      </c>
      <c r="F88" s="14">
        <v>1918</v>
      </c>
      <c r="G88" s="14">
        <v>2086</v>
      </c>
      <c r="H88" s="14">
        <v>2142</v>
      </c>
      <c r="I88" s="14">
        <v>2425</v>
      </c>
      <c r="J88" s="14">
        <v>2595</v>
      </c>
      <c r="K88" s="14">
        <v>2820</v>
      </c>
      <c r="L88" s="14">
        <v>2989</v>
      </c>
      <c r="M88" s="14">
        <f>((2910+2910*0.1)*1.1)*1.04</f>
        <v>3662</v>
      </c>
      <c r="N88" s="14">
        <f>((3806+3806*0.1)*1.1)*1.04</f>
        <v>4789</v>
      </c>
      <c r="O88" s="14">
        <f>((4130+4130*0.1)*1.1)*1.04</f>
        <v>5197</v>
      </c>
      <c r="P88" s="14">
        <f>((5409+5409*0.1)*1.1)*1.04</f>
        <v>6807</v>
      </c>
      <c r="Q88" s="2"/>
    </row>
    <row r="89" spans="1:17" ht="18" x14ac:dyDescent="0.25">
      <c r="A89" s="5" t="s">
        <v>109</v>
      </c>
      <c r="B89" s="6">
        <v>2266</v>
      </c>
      <c r="C89" s="6">
        <v>2436</v>
      </c>
      <c r="D89" s="6">
        <v>2492</v>
      </c>
      <c r="E89" s="6">
        <v>2662</v>
      </c>
      <c r="F89" s="6">
        <v>2718</v>
      </c>
      <c r="G89" s="6">
        <v>2886</v>
      </c>
      <c r="H89" s="6">
        <v>2942</v>
      </c>
      <c r="I89" s="6">
        <v>3225</v>
      </c>
      <c r="J89" s="6">
        <v>3395</v>
      </c>
      <c r="K89" s="6">
        <v>3620</v>
      </c>
      <c r="L89" s="6">
        <v>3789</v>
      </c>
      <c r="M89" s="6">
        <f>(((2910+2910*0.1)*1.1)*1.04)+800</f>
        <v>4462</v>
      </c>
      <c r="N89" s="6">
        <f>(((3806+3806*0.1)*1.1)*1.04)+800</f>
        <v>5589</v>
      </c>
      <c r="O89" s="6">
        <f>(((4130+4130*0.1)*1.1)*1.04)+800</f>
        <v>5997</v>
      </c>
      <c r="P89" s="6">
        <f>(((5409+5409*0.1)*1.1)*1.04)+800</f>
        <v>7607</v>
      </c>
      <c r="Q89" s="2"/>
    </row>
    <row r="90" spans="1:17" ht="18" x14ac:dyDescent="0.25">
      <c r="A90" s="7" t="s">
        <v>110</v>
      </c>
      <c r="B90" s="14">
        <v>1699</v>
      </c>
      <c r="C90" s="14">
        <v>1895</v>
      </c>
      <c r="D90" s="14">
        <v>1959</v>
      </c>
      <c r="E90" s="14">
        <v>2155</v>
      </c>
      <c r="F90" s="14">
        <v>2220</v>
      </c>
      <c r="G90" s="14">
        <v>2417</v>
      </c>
      <c r="H90" s="14">
        <v>2482</v>
      </c>
      <c r="I90" s="14">
        <v>2809</v>
      </c>
      <c r="J90" s="14">
        <v>3006</v>
      </c>
      <c r="K90" s="14">
        <v>3267</v>
      </c>
      <c r="L90" s="25">
        <f>(((2926+2926*0.1)*1.1)*1.04)*1.07</f>
        <v>3940</v>
      </c>
      <c r="M90" s="14">
        <f>((3909+3909*0.1)*1.1)*1.04</f>
        <v>4919</v>
      </c>
      <c r="N90" s="14">
        <f>((5526+5526*0.1)*1.1)*1.04</f>
        <v>6954</v>
      </c>
      <c r="O90" s="14">
        <f>((5601+5601*0.1)*1.1)*1.04</f>
        <v>7048</v>
      </c>
      <c r="P90" s="14">
        <f>((7055+7055*0.1)*1.1)*1.04</f>
        <v>8878</v>
      </c>
      <c r="Q90" s="2"/>
    </row>
    <row r="91" spans="1:17" ht="18" x14ac:dyDescent="0.25">
      <c r="A91" s="5" t="s">
        <v>111</v>
      </c>
      <c r="B91" s="6">
        <v>2499</v>
      </c>
      <c r="C91" s="6">
        <v>2695</v>
      </c>
      <c r="D91" s="6">
        <v>2759</v>
      </c>
      <c r="E91" s="6">
        <v>2955</v>
      </c>
      <c r="F91" s="6">
        <v>3020</v>
      </c>
      <c r="G91" s="6">
        <v>3217</v>
      </c>
      <c r="H91" s="6">
        <v>3282</v>
      </c>
      <c r="I91" s="6">
        <v>3609</v>
      </c>
      <c r="J91" s="6">
        <v>3806</v>
      </c>
      <c r="K91" s="6">
        <v>4067</v>
      </c>
      <c r="L91" s="6">
        <f>L90+800</f>
        <v>4740</v>
      </c>
      <c r="M91" s="6">
        <f>(((3909+3909*0.1)*1.1)*1.04)+800</f>
        <v>5719</v>
      </c>
      <c r="N91" s="6">
        <f>(((5526+5526*0.1)*1.1)*1.04)+800</f>
        <v>7754</v>
      </c>
      <c r="O91" s="6">
        <f>(((5601+5601*0.1)*1.1)*1.04)+800</f>
        <v>7848</v>
      </c>
      <c r="P91" s="6">
        <f>(((7055+7055*0.1)*1.1)*1.04)+800</f>
        <v>9678</v>
      </c>
      <c r="Q91" s="2"/>
    </row>
    <row r="92" spans="1:17" ht="18" x14ac:dyDescent="0.25">
      <c r="A92" s="16" t="s">
        <v>112</v>
      </c>
      <c r="B92" s="14">
        <v>1854</v>
      </c>
      <c r="C92" s="14">
        <v>2069</v>
      </c>
      <c r="D92" s="14">
        <v>2140</v>
      </c>
      <c r="E92" s="14">
        <v>2355</v>
      </c>
      <c r="F92" s="14">
        <v>2425</v>
      </c>
      <c r="G92" s="14">
        <v>2640</v>
      </c>
      <c r="H92" s="14">
        <v>2710</v>
      </c>
      <c r="I92" s="14">
        <v>3067</v>
      </c>
      <c r="J92" s="14">
        <v>3281</v>
      </c>
      <c r="K92" s="14">
        <v>3567</v>
      </c>
      <c r="L92" s="25">
        <f>(((3355+3355*0.1)*1.1)*1.04)*1.07</f>
        <v>4517</v>
      </c>
      <c r="M92" s="14">
        <f>((5071+5071*0.1)*1.1)*1.04</f>
        <v>6381</v>
      </c>
      <c r="N92" s="14">
        <f>((6665+6665*0.1)*1.1)*1.04</f>
        <v>8387</v>
      </c>
      <c r="O92" s="14">
        <f>((7131+7131*0.1)*1.1)*1.04</f>
        <v>8974</v>
      </c>
      <c r="P92" s="14">
        <f>((8168+8168*0.1)*1.1)*1.04</f>
        <v>10279</v>
      </c>
      <c r="Q92" s="2"/>
    </row>
    <row r="93" spans="1:17" ht="18" x14ac:dyDescent="0.25">
      <c r="A93" s="5" t="s">
        <v>113</v>
      </c>
      <c r="B93" s="6">
        <v>2654</v>
      </c>
      <c r="C93" s="6">
        <v>2869</v>
      </c>
      <c r="D93" s="6">
        <v>2940</v>
      </c>
      <c r="E93" s="6">
        <v>3155</v>
      </c>
      <c r="F93" s="6">
        <v>3225</v>
      </c>
      <c r="G93" s="6">
        <v>3440</v>
      </c>
      <c r="H93" s="6">
        <v>3510</v>
      </c>
      <c r="I93" s="6">
        <v>3867</v>
      </c>
      <c r="J93" s="6">
        <v>4081</v>
      </c>
      <c r="K93" s="6">
        <v>4367</v>
      </c>
      <c r="L93" s="6">
        <f>L92+800</f>
        <v>5317</v>
      </c>
      <c r="M93" s="6">
        <f>(((5071+5071*0.1)*1.1)*1.04)+800</f>
        <v>7181</v>
      </c>
      <c r="N93" s="6">
        <f>(((6665+6665*0.1)*1.1)*1.04)+800</f>
        <v>9187</v>
      </c>
      <c r="O93" s="6">
        <f>(((7131+7131*0.1)*1.1)*1.04)+800</f>
        <v>9774</v>
      </c>
      <c r="P93" s="6">
        <f>(((8168+8168*0.1)*1.1)*1.04)+800</f>
        <v>11079</v>
      </c>
      <c r="Q93" s="2"/>
    </row>
    <row r="94" spans="1:17" ht="18.75" x14ac:dyDescent="0.3">
      <c r="A94" s="7" t="s">
        <v>114</v>
      </c>
      <c r="B94" s="14">
        <v>1044</v>
      </c>
      <c r="C94" s="14">
        <v>1165</v>
      </c>
      <c r="D94" s="14">
        <v>1204</v>
      </c>
      <c r="E94" s="14">
        <v>1325</v>
      </c>
      <c r="F94" s="14">
        <v>1364</v>
      </c>
      <c r="G94" s="14">
        <v>1486</v>
      </c>
      <c r="H94" s="14">
        <v>1526</v>
      </c>
      <c r="I94" s="14">
        <v>1726</v>
      </c>
      <c r="J94" s="14">
        <v>1848</v>
      </c>
      <c r="K94" s="14">
        <v>2008</v>
      </c>
      <c r="L94" s="14">
        <f>((1955+1955*0.1)*1.1)*1.04</f>
        <v>2460</v>
      </c>
      <c r="M94" s="14">
        <f>((2582+2582*0.1)*1.1)*1.04</f>
        <v>3249</v>
      </c>
      <c r="N94" s="14">
        <f>((2690+2690*0.1)*1.1)*1.04</f>
        <v>3385</v>
      </c>
      <c r="O94" s="14">
        <f>((2827+2827*0.1)*1.1)*1.04</f>
        <v>3557</v>
      </c>
      <c r="P94" s="14">
        <f>((3507+3507*0.1)*1.1)*1.04</f>
        <v>4413</v>
      </c>
      <c r="Q94" s="2"/>
    </row>
    <row r="95" spans="1:17" ht="18" x14ac:dyDescent="0.25">
      <c r="A95" s="5" t="s">
        <v>115</v>
      </c>
      <c r="B95" s="6">
        <v>1154</v>
      </c>
      <c r="C95" s="6">
        <v>1288</v>
      </c>
      <c r="D95" s="6">
        <v>1331</v>
      </c>
      <c r="E95" s="6">
        <v>1464</v>
      </c>
      <c r="F95" s="6">
        <v>1509</v>
      </c>
      <c r="G95" s="6">
        <v>1643</v>
      </c>
      <c r="H95" s="6">
        <v>1686</v>
      </c>
      <c r="I95" s="6">
        <v>1908</v>
      </c>
      <c r="J95" s="6">
        <v>2043</v>
      </c>
      <c r="K95" s="6">
        <v>2219</v>
      </c>
      <c r="L95" s="6">
        <f>((2296+2296*0.1)*1.1)*1.04</f>
        <v>2889</v>
      </c>
      <c r="M95" s="6">
        <f>((2973+2973*0.1)*1.1)*1.04</f>
        <v>3741</v>
      </c>
      <c r="N95" s="6">
        <f>((3274+3274*0.1)*1.1)*1.04</f>
        <v>4120</v>
      </c>
      <c r="O95" s="6">
        <f>((3391+3391*0.1)*1.1)*1.04</f>
        <v>4267</v>
      </c>
      <c r="P95" s="6">
        <f>((3532+3532*0.1)*1.1)*1.04</f>
        <v>4445</v>
      </c>
      <c r="Q95" s="2"/>
    </row>
    <row r="96" spans="1:17" ht="18" x14ac:dyDescent="0.25">
      <c r="A96" s="7" t="s">
        <v>116</v>
      </c>
      <c r="B96" s="14">
        <v>1225</v>
      </c>
      <c r="C96" s="14">
        <v>1368</v>
      </c>
      <c r="D96" s="14">
        <v>1414</v>
      </c>
      <c r="E96" s="14">
        <v>1556</v>
      </c>
      <c r="F96" s="14">
        <v>1603</v>
      </c>
      <c r="G96" s="14">
        <v>1743</v>
      </c>
      <c r="H96" s="14">
        <v>1792</v>
      </c>
      <c r="I96" s="14">
        <v>2027</v>
      </c>
      <c r="J96" s="14">
        <v>2168</v>
      </c>
      <c r="K96" s="14">
        <v>2357</v>
      </c>
      <c r="L96" s="14">
        <f>((2522+2522*0.1)*1.1)*1.04</f>
        <v>3174</v>
      </c>
      <c r="M96" s="14">
        <f>((3233+3233*0.1)*1.1)*1.04</f>
        <v>4068</v>
      </c>
      <c r="N96" s="14">
        <f>((3665+3665*0.1)*1.1)*1.04</f>
        <v>4612</v>
      </c>
      <c r="O96" s="14">
        <f>((3759+3759*0.1)*1.1)*1.04</f>
        <v>4730</v>
      </c>
      <c r="P96" s="14">
        <f>((4689+4689*0.1)*1.1)*1.04</f>
        <v>5901</v>
      </c>
      <c r="Q96" s="2"/>
    </row>
    <row r="97" spans="1:17" ht="18.75" x14ac:dyDescent="0.3">
      <c r="A97" s="5" t="s">
        <v>117</v>
      </c>
      <c r="B97" s="6">
        <v>1026</v>
      </c>
      <c r="C97" s="6">
        <v>1145</v>
      </c>
      <c r="D97" s="6">
        <v>1185</v>
      </c>
      <c r="E97" s="6">
        <v>1303</v>
      </c>
      <c r="F97" s="6">
        <v>1342</v>
      </c>
      <c r="G97" s="6">
        <v>1461</v>
      </c>
      <c r="H97" s="6">
        <v>1500</v>
      </c>
      <c r="I97" s="6">
        <v>1697</v>
      </c>
      <c r="J97" s="6">
        <v>1816</v>
      </c>
      <c r="K97" s="6">
        <v>1974</v>
      </c>
      <c r="L97" s="6">
        <v>2059</v>
      </c>
      <c r="M97" s="6">
        <v>2314</v>
      </c>
      <c r="N97" s="6">
        <v>2493</v>
      </c>
      <c r="O97" s="6">
        <v>3160</v>
      </c>
      <c r="P97" s="6">
        <v>3430</v>
      </c>
      <c r="Q97" s="2"/>
    </row>
    <row r="98" spans="1:17" ht="18" x14ac:dyDescent="0.25">
      <c r="A98" s="7" t="s">
        <v>118</v>
      </c>
      <c r="B98" s="14">
        <v>1136</v>
      </c>
      <c r="C98" s="14">
        <v>1268</v>
      </c>
      <c r="D98" s="14">
        <v>1311</v>
      </c>
      <c r="E98" s="14">
        <v>1442</v>
      </c>
      <c r="F98" s="14">
        <v>1486</v>
      </c>
      <c r="G98" s="14">
        <v>1616</v>
      </c>
      <c r="H98" s="14">
        <v>1661</v>
      </c>
      <c r="I98" s="14">
        <v>1879</v>
      </c>
      <c r="J98" s="14">
        <v>2010</v>
      </c>
      <c r="K98" s="14">
        <v>2185</v>
      </c>
      <c r="L98" s="24">
        <f>(((1844+1844*0.1)*1.1)*1.04)*1.07</f>
        <v>2483</v>
      </c>
      <c r="M98" s="14">
        <f>((2307+2307*0.1)*1.1)*1.04</f>
        <v>2903</v>
      </c>
      <c r="N98" s="14">
        <f>((2563+2563*0.1)*1.1)*1.04</f>
        <v>3225</v>
      </c>
      <c r="O98" s="14">
        <f>((2715+2715*0.1)*1.1)*1.04</f>
        <v>3417</v>
      </c>
      <c r="P98" s="14">
        <f>((3141+3141*0.1)*1.1)*1.04</f>
        <v>3953</v>
      </c>
      <c r="Q98" s="2"/>
    </row>
    <row r="99" spans="1:17" ht="18" x14ac:dyDescent="0.25">
      <c r="A99" s="5" t="s">
        <v>119</v>
      </c>
      <c r="B99" s="6">
        <v>1208</v>
      </c>
      <c r="C99" s="6">
        <v>1347</v>
      </c>
      <c r="D99" s="6">
        <v>1394</v>
      </c>
      <c r="E99" s="6">
        <v>1533</v>
      </c>
      <c r="F99" s="6">
        <v>1579</v>
      </c>
      <c r="G99" s="6">
        <v>1718</v>
      </c>
      <c r="H99" s="6">
        <v>1765</v>
      </c>
      <c r="I99" s="6">
        <v>1998</v>
      </c>
      <c r="J99" s="6">
        <v>2137</v>
      </c>
      <c r="K99" s="6">
        <v>2485</v>
      </c>
      <c r="L99" s="6">
        <f>(((2076+2076*0.1)*1.1)*1.04)*1.07</f>
        <v>2795</v>
      </c>
      <c r="M99" s="6">
        <f>((2577+2577*0.1)*1.1)*1.04</f>
        <v>3243</v>
      </c>
      <c r="N99" s="6">
        <f>((2958+2958*0.1)*1.1)*1.04</f>
        <v>3722</v>
      </c>
      <c r="O99" s="6">
        <f>((3036+3036*0.1)*1.1)*1.04</f>
        <v>3821</v>
      </c>
      <c r="P99" s="6">
        <f>((3270+3270*0.1)*1.1)*1.04</f>
        <v>4115</v>
      </c>
      <c r="Q99" s="2"/>
    </row>
    <row r="100" spans="1:17" ht="18" x14ac:dyDescent="0.25">
      <c r="A100" s="7" t="s">
        <v>120</v>
      </c>
      <c r="B100" s="14">
        <v>652</v>
      </c>
      <c r="C100" s="14">
        <v>728</v>
      </c>
      <c r="D100" s="14">
        <v>753</v>
      </c>
      <c r="E100" s="14">
        <v>828</v>
      </c>
      <c r="F100" s="14">
        <v>853</v>
      </c>
      <c r="G100" s="14">
        <v>928</v>
      </c>
      <c r="H100" s="14">
        <v>953</v>
      </c>
      <c r="I100" s="14">
        <v>1078</v>
      </c>
      <c r="J100" s="14">
        <v>1153</v>
      </c>
      <c r="K100" s="14">
        <v>1254</v>
      </c>
      <c r="L100" s="14">
        <v>1346</v>
      </c>
      <c r="M100" s="14">
        <v>1438</v>
      </c>
      <c r="N100" s="14">
        <f>((1313+1313*0.1)*1.1)*1.04</f>
        <v>1652</v>
      </c>
      <c r="O100" s="14">
        <f>((2225+2225*0.1)*1.1)*1.04</f>
        <v>2800</v>
      </c>
      <c r="P100" s="14">
        <f>((2591+2591*0.1)*1.1)*1.04</f>
        <v>3261</v>
      </c>
      <c r="Q100" s="2"/>
    </row>
    <row r="101" spans="1:17" ht="18" x14ac:dyDescent="0.25">
      <c r="A101" s="5" t="s">
        <v>121</v>
      </c>
      <c r="B101" s="6">
        <v>690</v>
      </c>
      <c r="C101" s="6">
        <v>770</v>
      </c>
      <c r="D101" s="6">
        <v>797</v>
      </c>
      <c r="E101" s="6">
        <v>877</v>
      </c>
      <c r="F101" s="6">
        <v>903</v>
      </c>
      <c r="G101" s="6">
        <v>982</v>
      </c>
      <c r="H101" s="6">
        <v>1009</v>
      </c>
      <c r="I101" s="6">
        <v>1142</v>
      </c>
      <c r="J101" s="6">
        <v>1221</v>
      </c>
      <c r="K101" s="6">
        <v>1327</v>
      </c>
      <c r="L101" s="6">
        <v>1407</v>
      </c>
      <c r="M101" s="6">
        <f>((1291+1291*0.1)*1.1)*1.04</f>
        <v>1625</v>
      </c>
      <c r="N101" s="6">
        <f>((1706+1706*0.1)*1.1)*1.04</f>
        <v>2147</v>
      </c>
      <c r="O101" s="6">
        <f>((2944+2944*0.1)*1.1)*1.04</f>
        <v>3705</v>
      </c>
      <c r="P101" s="6">
        <f>((3421+3421*0.1)*1.1)*1.04</f>
        <v>4305</v>
      </c>
      <c r="Q101" s="2"/>
    </row>
    <row r="102" spans="1:17" s="17" customFormat="1" ht="18" x14ac:dyDescent="0.25">
      <c r="A102" s="7" t="s">
        <v>122</v>
      </c>
      <c r="B102" s="14">
        <v>748</v>
      </c>
      <c r="C102" s="14">
        <v>834</v>
      </c>
      <c r="D102" s="14">
        <v>864</v>
      </c>
      <c r="E102" s="14">
        <v>950</v>
      </c>
      <c r="F102" s="14">
        <v>979</v>
      </c>
      <c r="G102" s="14">
        <v>1065</v>
      </c>
      <c r="H102" s="14">
        <v>1094</v>
      </c>
      <c r="I102" s="14">
        <v>1237</v>
      </c>
      <c r="J102" s="14">
        <v>1324</v>
      </c>
      <c r="K102" s="14">
        <v>1439</v>
      </c>
      <c r="L102" s="14">
        <v>1525</v>
      </c>
      <c r="M102" s="14">
        <f>((1451+1451*0.1)*1.1)*1.04</f>
        <v>1826</v>
      </c>
      <c r="N102" s="14">
        <f>((1958+1958*0.1)*1.1)*1.04</f>
        <v>2464</v>
      </c>
      <c r="O102" s="14">
        <f>((3796+3796*0.1)*1.1)*1.04</f>
        <v>4777</v>
      </c>
      <c r="P102" s="14">
        <f>((4376+4376*0.1)*1.1)*1.04</f>
        <v>5507</v>
      </c>
      <c r="Q102" s="2"/>
    </row>
    <row r="103" spans="1:17" s="17" customFormat="1" ht="18" x14ac:dyDescent="0.25">
      <c r="A103" s="5" t="s">
        <v>123</v>
      </c>
      <c r="B103" s="6">
        <v>640</v>
      </c>
      <c r="C103" s="6">
        <v>713</v>
      </c>
      <c r="D103" s="6">
        <v>738</v>
      </c>
      <c r="E103" s="6">
        <v>812</v>
      </c>
      <c r="F103" s="6">
        <v>837</v>
      </c>
      <c r="G103" s="6">
        <v>910</v>
      </c>
      <c r="H103" s="6">
        <v>935</v>
      </c>
      <c r="I103" s="6">
        <v>1058</v>
      </c>
      <c r="J103" s="6">
        <v>1132</v>
      </c>
      <c r="K103" s="6">
        <v>1230</v>
      </c>
      <c r="L103" s="6">
        <v>1304</v>
      </c>
      <c r="M103" s="6">
        <v>1401</v>
      </c>
      <c r="N103" s="6">
        <v>1622</v>
      </c>
      <c r="O103" s="6">
        <v>1905</v>
      </c>
      <c r="P103" s="6">
        <f>(((1634+1634*0.1)*1.1)*1.08)*1.04</f>
        <v>2221</v>
      </c>
      <c r="Q103" s="2"/>
    </row>
    <row r="104" spans="1:17" s="17" customFormat="1" ht="18" x14ac:dyDescent="0.25">
      <c r="A104" s="7" t="s">
        <v>124</v>
      </c>
      <c r="B104" s="14">
        <v>679</v>
      </c>
      <c r="C104" s="14">
        <v>758</v>
      </c>
      <c r="D104" s="14">
        <v>785</v>
      </c>
      <c r="E104" s="14">
        <v>862</v>
      </c>
      <c r="F104" s="14">
        <v>889</v>
      </c>
      <c r="G104" s="14">
        <v>967</v>
      </c>
      <c r="H104" s="14">
        <v>993</v>
      </c>
      <c r="I104" s="14">
        <v>1124</v>
      </c>
      <c r="J104" s="14">
        <v>1202</v>
      </c>
      <c r="K104" s="14">
        <v>1307</v>
      </c>
      <c r="L104" s="14">
        <v>1385</v>
      </c>
      <c r="M104" s="14">
        <v>1489</v>
      </c>
      <c r="N104" s="14">
        <v>1725</v>
      </c>
      <c r="O104" s="14">
        <f>((1914+1914*0.1)*1.1)*1.04</f>
        <v>2409</v>
      </c>
      <c r="P104" s="14">
        <f>((2273+2273*0.1)*1.1)*1.04</f>
        <v>2860</v>
      </c>
      <c r="Q104" s="2"/>
    </row>
    <row r="105" spans="1:17" s="17" customFormat="1" ht="18" x14ac:dyDescent="0.25">
      <c r="A105" s="5" t="s">
        <v>125</v>
      </c>
      <c r="B105" s="6">
        <v>738</v>
      </c>
      <c r="C105" s="6">
        <v>823</v>
      </c>
      <c r="D105" s="6">
        <v>851</v>
      </c>
      <c r="E105" s="6">
        <v>936</v>
      </c>
      <c r="F105" s="6">
        <v>964</v>
      </c>
      <c r="G105" s="6">
        <v>1050</v>
      </c>
      <c r="H105" s="6">
        <v>1077</v>
      </c>
      <c r="I105" s="6">
        <v>1220</v>
      </c>
      <c r="J105" s="6">
        <v>1305</v>
      </c>
      <c r="K105" s="6">
        <v>1419</v>
      </c>
      <c r="L105" s="6">
        <v>1503</v>
      </c>
      <c r="M105" s="6">
        <v>1617</v>
      </c>
      <c r="N105" s="6">
        <f>((1625+1625*0.1)*1.1)*1.04</f>
        <v>2045</v>
      </c>
      <c r="O105" s="6">
        <f>((2579+2579*0.1)*1.1)*1.04</f>
        <v>3245</v>
      </c>
      <c r="P105" s="6">
        <f>((3072+3072*0.1)*1.1)*1.04</f>
        <v>3866</v>
      </c>
      <c r="Q105" s="2"/>
    </row>
    <row r="106" spans="1:17" s="17" customFormat="1" ht="18" x14ac:dyDescent="0.25">
      <c r="A106" s="7" t="s">
        <v>126</v>
      </c>
      <c r="B106" s="14">
        <v>1278</v>
      </c>
      <c r="C106" s="14">
        <v>1425</v>
      </c>
      <c r="D106" s="14">
        <v>1475</v>
      </c>
      <c r="E106" s="14">
        <v>1622</v>
      </c>
      <c r="F106" s="14">
        <v>1671</v>
      </c>
      <c r="G106" s="14">
        <v>1819</v>
      </c>
      <c r="H106" s="14">
        <v>1867</v>
      </c>
      <c r="I106" s="14">
        <v>2113</v>
      </c>
      <c r="J106" s="14">
        <v>2261</v>
      </c>
      <c r="K106" s="14">
        <v>2458</v>
      </c>
      <c r="L106" s="14">
        <f>(((2019+2019*0.1)*1.1)*1.1)*1.04</f>
        <v>2795</v>
      </c>
      <c r="M106" s="14">
        <f>((2671+2671*0.1)*1.1)*1.04</f>
        <v>3361</v>
      </c>
      <c r="N106" s="14">
        <f>((2834+2834*0.1)*1.1)*1.04</f>
        <v>3566</v>
      </c>
      <c r="O106" s="14">
        <f>((3393+3393*0.1)*1.1)*1.04</f>
        <v>4270</v>
      </c>
      <c r="P106" s="14">
        <f>((4455+4455*0.1)*1.1)*1.04</f>
        <v>5606</v>
      </c>
      <c r="Q106" s="2"/>
    </row>
    <row r="107" spans="1:17" s="17" customFormat="1" ht="18" x14ac:dyDescent="0.25">
      <c r="A107" s="5" t="s">
        <v>127</v>
      </c>
      <c r="B107" s="6">
        <v>1406</v>
      </c>
      <c r="C107" s="6">
        <v>1568</v>
      </c>
      <c r="D107" s="6">
        <v>1622</v>
      </c>
      <c r="E107" s="6">
        <v>1784</v>
      </c>
      <c r="F107" s="6">
        <v>1838</v>
      </c>
      <c r="G107" s="6">
        <v>2000</v>
      </c>
      <c r="H107" s="6">
        <v>2054</v>
      </c>
      <c r="I107" s="6">
        <v>2324</v>
      </c>
      <c r="J107" s="6">
        <v>2487</v>
      </c>
      <c r="K107" s="6">
        <v>2703</v>
      </c>
      <c r="L107" s="6">
        <f>((2494+2494*0.1)*1.1)*1.04</f>
        <v>3138</v>
      </c>
      <c r="M107" s="6">
        <f>((3364+3364*0.1)*1.1)*1.04</f>
        <v>4233</v>
      </c>
      <c r="N107" s="6">
        <f>((3828+3828*0.1)*1.1)*1.04</f>
        <v>4817</v>
      </c>
      <c r="O107" s="6">
        <f>((3873+3873*0.1)*1.1)*1.04</f>
        <v>4874</v>
      </c>
      <c r="P107" s="6">
        <f>((4614+4614*0.1)*1.1)*1.04</f>
        <v>5806</v>
      </c>
      <c r="Q107" s="2"/>
    </row>
    <row r="108" spans="1:17" ht="18" x14ac:dyDescent="0.25">
      <c r="A108" s="7" t="s">
        <v>128</v>
      </c>
      <c r="B108" s="14">
        <v>1489</v>
      </c>
      <c r="C108" s="14">
        <v>1662</v>
      </c>
      <c r="D108" s="14">
        <v>1720</v>
      </c>
      <c r="E108" s="14">
        <v>1891</v>
      </c>
      <c r="F108" s="14">
        <v>1949</v>
      </c>
      <c r="G108" s="14">
        <v>2121</v>
      </c>
      <c r="H108" s="14">
        <v>2178</v>
      </c>
      <c r="I108" s="14">
        <v>2466</v>
      </c>
      <c r="J108" s="14">
        <v>2637</v>
      </c>
      <c r="K108" s="14">
        <v>2867</v>
      </c>
      <c r="L108" s="14">
        <f>((2807+2807*0.1)*1.1)*1.04</f>
        <v>3532</v>
      </c>
      <c r="M108" s="14">
        <f>((3798+3798*0.1)*1.1)*1.04</f>
        <v>4779</v>
      </c>
      <c r="N108" s="14">
        <f>((4481+4481*0.1)*1.1)*1.04</f>
        <v>5639</v>
      </c>
      <c r="O108" s="14">
        <f>((4598+4598*0.1)*1.1)*1.04</f>
        <v>5786</v>
      </c>
      <c r="P108" s="14">
        <f>((5136+5136*0.1)*1.1)*1.04</f>
        <v>6463</v>
      </c>
      <c r="Q108" s="2"/>
    </row>
    <row r="109" spans="1:17" ht="20.25" customHeight="1" x14ac:dyDescent="0.25">
      <c r="A109" s="5" t="s">
        <v>129</v>
      </c>
      <c r="B109" s="6">
        <v>1254</v>
      </c>
      <c r="C109" s="6">
        <v>1398</v>
      </c>
      <c r="D109" s="6">
        <v>1446</v>
      </c>
      <c r="E109" s="6">
        <v>1590</v>
      </c>
      <c r="F109" s="6">
        <v>1638</v>
      </c>
      <c r="G109" s="6">
        <v>1784</v>
      </c>
      <c r="H109" s="6">
        <v>1831</v>
      </c>
      <c r="I109" s="6">
        <v>2073</v>
      </c>
      <c r="J109" s="6">
        <v>2217</v>
      </c>
      <c r="K109" s="6">
        <v>2411</v>
      </c>
      <c r="L109" s="6">
        <v>2554</v>
      </c>
      <c r="M109" s="6">
        <f>(((1986+1986*0.1)*1.1)*1.1)*1.04</f>
        <v>2749</v>
      </c>
      <c r="N109" s="6">
        <v>3181</v>
      </c>
      <c r="O109" s="6">
        <v>3711</v>
      </c>
      <c r="P109" s="6">
        <f>((3418+3418*0.1)*1.1)*1.04</f>
        <v>4301</v>
      </c>
      <c r="Q109" s="2"/>
    </row>
    <row r="110" spans="1:17" ht="18" x14ac:dyDescent="0.25">
      <c r="A110" s="13" t="s">
        <v>130</v>
      </c>
      <c r="B110" s="14">
        <v>1381</v>
      </c>
      <c r="C110" s="14">
        <v>1540</v>
      </c>
      <c r="D110" s="14">
        <v>1593</v>
      </c>
      <c r="E110" s="14">
        <v>1752</v>
      </c>
      <c r="F110" s="14">
        <v>1806</v>
      </c>
      <c r="G110" s="14">
        <v>1965</v>
      </c>
      <c r="H110" s="14">
        <v>2018</v>
      </c>
      <c r="I110" s="14">
        <v>2285</v>
      </c>
      <c r="J110" s="14">
        <v>2443</v>
      </c>
      <c r="K110" s="14">
        <v>2655</v>
      </c>
      <c r="L110" s="14">
        <f>(((2017+2017*0.1)*1.1)*1.1)*1.04</f>
        <v>2792</v>
      </c>
      <c r="M110" s="14">
        <f>((2670+2670*0.1)*1.1)*1.04</f>
        <v>3360</v>
      </c>
      <c r="N110" s="14">
        <f>((3102+3102*0.1)*1.1)*1.04</f>
        <v>3904</v>
      </c>
      <c r="O110" s="14">
        <f>((3163+3163*0.1)*1.1)*1.04</f>
        <v>3980</v>
      </c>
      <c r="P110" s="14">
        <f>((4338+4338*0.1)*1.1)*1.04</f>
        <v>5459</v>
      </c>
      <c r="Q110" s="2"/>
    </row>
    <row r="111" spans="1:17" ht="18" x14ac:dyDescent="0.25">
      <c r="A111" s="5" t="s">
        <v>131</v>
      </c>
      <c r="B111" s="6">
        <v>1466</v>
      </c>
      <c r="C111" s="6">
        <v>1635</v>
      </c>
      <c r="D111" s="6">
        <v>1691</v>
      </c>
      <c r="E111" s="6">
        <v>1861</v>
      </c>
      <c r="F111" s="6">
        <v>1917</v>
      </c>
      <c r="G111" s="6">
        <v>2086</v>
      </c>
      <c r="H111" s="6">
        <v>2141</v>
      </c>
      <c r="I111" s="6">
        <v>2424</v>
      </c>
      <c r="J111" s="6">
        <v>2594</v>
      </c>
      <c r="K111" s="6">
        <v>2818</v>
      </c>
      <c r="L111" s="6">
        <f>(((2238+2238*0.1)*1.1)*1.1)*1.04</f>
        <v>3098</v>
      </c>
      <c r="M111" s="6">
        <f>((3113+3113*0.1)*1.1)*1.04</f>
        <v>3917</v>
      </c>
      <c r="N111" s="6">
        <f>((3763+3763*0.1)*1.1)*1.04</f>
        <v>4735</v>
      </c>
      <c r="O111" s="6">
        <f>((3997+3997*0.1)*1.1)*1.04</f>
        <v>5030</v>
      </c>
      <c r="P111" s="6">
        <f>((4872+4872*0.1)*1.1)*1.04</f>
        <v>6131</v>
      </c>
      <c r="Q111" s="2"/>
    </row>
    <row r="112" spans="1:17" ht="18" x14ac:dyDescent="0.25">
      <c r="A112" s="13" t="s">
        <v>4</v>
      </c>
      <c r="B112" s="14">
        <v>536</v>
      </c>
      <c r="C112" s="14">
        <v>597</v>
      </c>
      <c r="D112" s="14">
        <v>618</v>
      </c>
      <c r="E112" s="14">
        <v>679</v>
      </c>
      <c r="F112" s="14">
        <v>700</v>
      </c>
      <c r="G112" s="14">
        <v>762</v>
      </c>
      <c r="H112" s="14">
        <v>782</v>
      </c>
      <c r="I112" s="14">
        <v>885</v>
      </c>
      <c r="J112" s="14">
        <v>947</v>
      </c>
      <c r="K112" s="14">
        <v>1030</v>
      </c>
      <c r="L112" s="14">
        <f>((954+954*0.1)*1.1)*1.04</f>
        <v>1201</v>
      </c>
      <c r="M112" s="14">
        <f>((1068+1068*0.1)*1.1)*1.04</f>
        <v>1344</v>
      </c>
      <c r="N112" s="14">
        <f>((1073+1073*0.1)*1.1)*1.04</f>
        <v>1350</v>
      </c>
      <c r="O112" s="14">
        <f>((1081+1081*0.1)*1.1)*1.04</f>
        <v>1360</v>
      </c>
      <c r="P112" s="14">
        <f>(((1099+1099*0.1)*1.1)*1.08)*1.04</f>
        <v>1494</v>
      </c>
      <c r="Q112" s="2"/>
    </row>
    <row r="113" spans="1:17" ht="18" x14ac:dyDescent="0.25">
      <c r="A113" s="5" t="s">
        <v>47</v>
      </c>
      <c r="B113" s="6">
        <v>824</v>
      </c>
      <c r="C113" s="6">
        <v>918</v>
      </c>
      <c r="D113" s="6">
        <v>951</v>
      </c>
      <c r="E113" s="6">
        <v>1045</v>
      </c>
      <c r="F113" s="6">
        <v>1077</v>
      </c>
      <c r="G113" s="6">
        <v>1173</v>
      </c>
      <c r="H113" s="6">
        <v>1204</v>
      </c>
      <c r="I113" s="6">
        <v>1362</v>
      </c>
      <c r="J113" s="6">
        <v>1457</v>
      </c>
      <c r="K113" s="6">
        <v>1585</v>
      </c>
      <c r="L113" s="6">
        <v>1680</v>
      </c>
      <c r="M113" s="6">
        <v>1806</v>
      </c>
      <c r="N113" s="6">
        <v>2091</v>
      </c>
      <c r="O113" s="6">
        <v>2440</v>
      </c>
      <c r="P113" s="6">
        <v>2725</v>
      </c>
      <c r="Q113" s="2"/>
    </row>
    <row r="114" spans="1:17" ht="18" x14ac:dyDescent="0.25">
      <c r="A114" s="13" t="s">
        <v>28</v>
      </c>
      <c r="B114" s="9">
        <v>1026</v>
      </c>
      <c r="C114" s="9">
        <v>1145</v>
      </c>
      <c r="D114" s="9">
        <v>1185</v>
      </c>
      <c r="E114" s="9">
        <v>1303</v>
      </c>
      <c r="F114" s="9">
        <v>1342</v>
      </c>
      <c r="G114" s="9">
        <v>1461</v>
      </c>
      <c r="H114" s="9">
        <v>1500</v>
      </c>
      <c r="I114" s="9">
        <v>1697</v>
      </c>
      <c r="J114" s="9">
        <v>1816</v>
      </c>
      <c r="K114" s="9">
        <v>1974</v>
      </c>
      <c r="L114" s="9">
        <v>2092</v>
      </c>
      <c r="M114" s="9">
        <v>2355</v>
      </c>
      <c r="N114" s="9">
        <v>2605</v>
      </c>
      <c r="O114" s="9">
        <v>3040</v>
      </c>
      <c r="P114" s="9">
        <v>3395</v>
      </c>
      <c r="Q114" s="2"/>
    </row>
    <row r="115" spans="1:17" ht="18" x14ac:dyDescent="0.25">
      <c r="A115" s="5" t="s">
        <v>43</v>
      </c>
      <c r="B115" s="6">
        <v>556</v>
      </c>
      <c r="C115" s="6">
        <v>620</v>
      </c>
      <c r="D115" s="6">
        <v>642</v>
      </c>
      <c r="E115" s="6">
        <v>706</v>
      </c>
      <c r="F115" s="6">
        <v>728</v>
      </c>
      <c r="G115" s="6">
        <v>791</v>
      </c>
      <c r="H115" s="6">
        <v>813</v>
      </c>
      <c r="I115" s="6">
        <v>919</v>
      </c>
      <c r="J115" s="6">
        <v>984</v>
      </c>
      <c r="K115" s="6">
        <v>1070</v>
      </c>
      <c r="L115" s="6">
        <f>((1115+1115*0.1)*1.1)*1.04</f>
        <v>1403</v>
      </c>
      <c r="M115" s="6">
        <f>((1493+1493*0.1)*1.1)*1.04</f>
        <v>1879</v>
      </c>
      <c r="N115" s="6">
        <f>((1690+1690*0.1)*1.1)*1.04</f>
        <v>2127</v>
      </c>
      <c r="O115" s="6">
        <f>((2771+2771*0.1)*1.1)*1.04</f>
        <v>3487</v>
      </c>
      <c r="P115" s="6">
        <f>((3008+3008*0.1)*1.1)*1.04</f>
        <v>3785</v>
      </c>
      <c r="Q115" s="2"/>
    </row>
    <row r="116" spans="1:17" ht="18" x14ac:dyDescent="0.25">
      <c r="A116" s="7" t="s">
        <v>48</v>
      </c>
      <c r="B116" s="9">
        <v>594</v>
      </c>
      <c r="C116" s="9">
        <v>662</v>
      </c>
      <c r="D116" s="9">
        <v>685</v>
      </c>
      <c r="E116" s="9">
        <v>753</v>
      </c>
      <c r="F116" s="9">
        <v>776</v>
      </c>
      <c r="G116" s="9">
        <v>844</v>
      </c>
      <c r="H116" s="9">
        <v>867</v>
      </c>
      <c r="I116" s="9">
        <v>982</v>
      </c>
      <c r="J116" s="9">
        <v>1050</v>
      </c>
      <c r="K116" s="9">
        <v>1142</v>
      </c>
      <c r="L116" s="9">
        <f>((1135+1135*0.1)*1.1)*1.04</f>
        <v>1428</v>
      </c>
      <c r="M116" s="9">
        <f>((1544+1544*0.1)*1.1)*1.04</f>
        <v>1943</v>
      </c>
      <c r="N116" s="9">
        <f>((1741+1741*0.1)*1.1)*1.04</f>
        <v>2191</v>
      </c>
      <c r="O116" s="9">
        <f>((2824+2824*0.1)*1.1)*1.04</f>
        <v>3554</v>
      </c>
      <c r="P116" s="9">
        <f>((3056+3056*0.1)*1.1)*1.04</f>
        <v>3846</v>
      </c>
      <c r="Q116" s="2"/>
    </row>
    <row r="117" spans="1:17" ht="18" x14ac:dyDescent="0.25">
      <c r="A117" s="18" t="s">
        <v>46</v>
      </c>
      <c r="B117" s="6">
        <v>629</v>
      </c>
      <c r="C117" s="6">
        <v>701</v>
      </c>
      <c r="D117" s="6">
        <v>727</v>
      </c>
      <c r="E117" s="6">
        <v>799</v>
      </c>
      <c r="F117" s="6">
        <v>823</v>
      </c>
      <c r="G117" s="6">
        <v>895</v>
      </c>
      <c r="H117" s="6">
        <v>919</v>
      </c>
      <c r="I117" s="6">
        <v>1040</v>
      </c>
      <c r="J117" s="6">
        <v>1113</v>
      </c>
      <c r="K117" s="6">
        <v>1211</v>
      </c>
      <c r="L117" s="6">
        <f>((1158+1158*0.1)*1.1)*1.04</f>
        <v>1457</v>
      </c>
      <c r="M117" s="6">
        <f>((1564+1564*0.1)*1.1)*1.04</f>
        <v>1968</v>
      </c>
      <c r="N117" s="6">
        <f>((1761+1761*0.1)*1.1)*1.04</f>
        <v>2216</v>
      </c>
      <c r="O117" s="6">
        <f>((2844+2844*0.1)*1.1)*1.04</f>
        <v>3579</v>
      </c>
      <c r="P117" s="6">
        <f>((3077+3077*0.1)*1.1)*1.04</f>
        <v>3872</v>
      </c>
      <c r="Q117" s="2"/>
    </row>
    <row r="118" spans="1:17" ht="18" x14ac:dyDescent="0.25">
      <c r="A118" s="7" t="s">
        <v>44</v>
      </c>
      <c r="B118" s="9">
        <v>524</v>
      </c>
      <c r="C118" s="9">
        <v>583</v>
      </c>
      <c r="D118" s="9">
        <v>604</v>
      </c>
      <c r="E118" s="9">
        <v>665</v>
      </c>
      <c r="F118" s="9">
        <v>684</v>
      </c>
      <c r="G118" s="9">
        <v>745</v>
      </c>
      <c r="H118" s="9">
        <v>765</v>
      </c>
      <c r="I118" s="9">
        <v>866</v>
      </c>
      <c r="J118" s="9">
        <v>927</v>
      </c>
      <c r="K118" s="9">
        <v>1007</v>
      </c>
      <c r="L118" s="9">
        <f>((874+874*0.1)*1.1)*1.04</f>
        <v>1100</v>
      </c>
      <c r="M118" s="9">
        <f>((1179+1179*0.1)*1.1)*1.04</f>
        <v>1484</v>
      </c>
      <c r="N118" s="9">
        <f>((1316+1316*0.1)*1.1)*1.04</f>
        <v>1656</v>
      </c>
      <c r="O118" s="9">
        <f>((2023+2023*0.1)*1.1)*1.04</f>
        <v>2546</v>
      </c>
      <c r="P118" s="9">
        <f>((2130+2130*0.1)*1.1)*1.04</f>
        <v>2680</v>
      </c>
      <c r="Q118" s="2"/>
    </row>
    <row r="119" spans="1:17" ht="18" x14ac:dyDescent="0.25">
      <c r="A119" s="5" t="s">
        <v>49</v>
      </c>
      <c r="B119" s="6">
        <v>575</v>
      </c>
      <c r="C119" s="6">
        <v>642</v>
      </c>
      <c r="D119" s="6">
        <v>665</v>
      </c>
      <c r="E119" s="6">
        <v>731</v>
      </c>
      <c r="F119" s="6">
        <v>753</v>
      </c>
      <c r="G119" s="6">
        <v>820</v>
      </c>
      <c r="H119" s="6">
        <v>841</v>
      </c>
      <c r="I119" s="6">
        <v>952</v>
      </c>
      <c r="J119" s="6">
        <v>1018</v>
      </c>
      <c r="K119" s="6">
        <v>1108</v>
      </c>
      <c r="L119" s="6">
        <v>1174</v>
      </c>
      <c r="M119" s="6">
        <f>((1203+1203*0.1)*1.1)*1.04</f>
        <v>1514</v>
      </c>
      <c r="N119" s="6">
        <f>((1375+1375*0.1)*1.1)*1.04</f>
        <v>1730</v>
      </c>
      <c r="O119" s="6">
        <f>((2115+2115*0.1)*1.1)*1.04</f>
        <v>2662</v>
      </c>
      <c r="P119" s="6">
        <f>((2225+2225*0.1)*1.1)*1.04</f>
        <v>2800</v>
      </c>
      <c r="Q119" s="2"/>
    </row>
    <row r="120" spans="1:17" ht="18" x14ac:dyDescent="0.25">
      <c r="A120" s="7" t="s">
        <v>50</v>
      </c>
      <c r="B120" s="9">
        <v>610</v>
      </c>
      <c r="C120" s="9">
        <v>682</v>
      </c>
      <c r="D120" s="9">
        <v>706</v>
      </c>
      <c r="E120" s="9">
        <v>776</v>
      </c>
      <c r="F120" s="9">
        <v>800</v>
      </c>
      <c r="G120" s="9">
        <v>869</v>
      </c>
      <c r="H120" s="9">
        <v>893</v>
      </c>
      <c r="I120" s="9">
        <v>1011</v>
      </c>
      <c r="J120" s="9">
        <v>1082</v>
      </c>
      <c r="K120" s="9">
        <v>1176</v>
      </c>
      <c r="L120" s="9">
        <v>1246</v>
      </c>
      <c r="M120" s="9">
        <f>((1222+1222*0.1)*1.1)*1.04</f>
        <v>1538</v>
      </c>
      <c r="N120" s="9">
        <f>((1386+1386*0.1)*1.1)*1.04</f>
        <v>1744</v>
      </c>
      <c r="O120" s="9">
        <f>((2150+2150*0.1)*1.1)*1.04</f>
        <v>2706</v>
      </c>
      <c r="P120" s="9">
        <f>((2256+2256*0.1)*1.1)*1.04</f>
        <v>2839</v>
      </c>
      <c r="Q120" s="2"/>
    </row>
    <row r="121" spans="1:17" ht="18" x14ac:dyDescent="0.25">
      <c r="A121" s="5" t="s">
        <v>132</v>
      </c>
      <c r="B121" s="6">
        <v>729</v>
      </c>
      <c r="C121" s="6">
        <v>813</v>
      </c>
      <c r="D121" s="6">
        <v>841</v>
      </c>
      <c r="E121" s="6">
        <v>926</v>
      </c>
      <c r="F121" s="6">
        <v>953</v>
      </c>
      <c r="G121" s="6">
        <v>1038</v>
      </c>
      <c r="H121" s="6">
        <v>1065</v>
      </c>
      <c r="I121" s="6">
        <v>1205</v>
      </c>
      <c r="J121" s="6">
        <v>1290</v>
      </c>
      <c r="K121" s="6">
        <v>1402</v>
      </c>
      <c r="L121" s="6">
        <v>1486</v>
      </c>
      <c r="M121" s="6">
        <v>1598</v>
      </c>
      <c r="N121" s="6">
        <v>1850</v>
      </c>
      <c r="O121" s="6">
        <v>2159</v>
      </c>
      <c r="P121" s="6">
        <v>2411</v>
      </c>
      <c r="Q121" s="2"/>
    </row>
    <row r="122" spans="1:17" ht="16.5" customHeight="1" thickBot="1" x14ac:dyDescent="0.3">
      <c r="A122" s="19" t="s">
        <v>133</v>
      </c>
      <c r="B122" s="9">
        <v>818</v>
      </c>
      <c r="C122" s="9">
        <v>913</v>
      </c>
      <c r="D122" s="9">
        <v>944</v>
      </c>
      <c r="E122" s="9">
        <v>1039</v>
      </c>
      <c r="F122" s="9">
        <v>1091</v>
      </c>
      <c r="G122" s="9">
        <v>1165</v>
      </c>
      <c r="H122" s="9">
        <v>1196</v>
      </c>
      <c r="I122" s="9">
        <v>1353</v>
      </c>
      <c r="J122" s="9">
        <v>1448</v>
      </c>
      <c r="K122" s="9">
        <v>1574</v>
      </c>
      <c r="L122" s="9">
        <v>1668</v>
      </c>
      <c r="M122" s="9">
        <v>1794</v>
      </c>
      <c r="N122" s="9">
        <v>2077</v>
      </c>
      <c r="O122" s="9">
        <v>2423</v>
      </c>
      <c r="P122" s="9">
        <v>2706</v>
      </c>
      <c r="Q122" s="2"/>
    </row>
    <row r="123" spans="1:17" ht="36.75" customHeight="1" thickBot="1" x14ac:dyDescent="0.3">
      <c r="A123" s="26" t="s">
        <v>134</v>
      </c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8"/>
      <c r="Q123" s="2"/>
    </row>
  </sheetData>
  <mergeCells count="9">
    <mergeCell ref="A123:P123"/>
    <mergeCell ref="A1:A2"/>
    <mergeCell ref="B1:P2"/>
    <mergeCell ref="A49:P49"/>
    <mergeCell ref="A3:A4"/>
    <mergeCell ref="A5:P5"/>
    <mergeCell ref="A6:P6"/>
    <mergeCell ref="A50:P50"/>
    <mergeCell ref="B3:P4"/>
  </mergeCells>
  <phoneticPr fontId="0" type="noConversion"/>
  <pageMargins left="0.25" right="0.25" top="0.75" bottom="0.75" header="0.3" footer="0.3"/>
  <pageSetup paperSize="9" scale="44" fitToHeight="0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Ventustriy</dc:creator>
  <cp:lastModifiedBy>User</cp:lastModifiedBy>
  <cp:lastPrinted>2023-02-17T14:11:03Z</cp:lastPrinted>
  <dcterms:created xsi:type="dcterms:W3CDTF">2011-03-17T06:43:25Z</dcterms:created>
  <dcterms:modified xsi:type="dcterms:W3CDTF">2024-07-05T07:38:49Z</dcterms:modified>
</cp:coreProperties>
</file>