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Лист1!$A$1:$P$118</definedName>
  </definedNames>
  <calcPr calcId="162913" refMode="R1C1" fullPrecision="0"/>
</workbook>
</file>

<file path=xl/calcChain.xml><?xml version="1.0" encoding="utf-8"?>
<calcChain xmlns="http://schemas.openxmlformats.org/spreadsheetml/2006/main">
  <c r="P90" i="1" l="1"/>
  <c r="O90" i="1"/>
  <c r="N90" i="1"/>
  <c r="M90" i="1"/>
  <c r="P88" i="1"/>
  <c r="O88" i="1"/>
  <c r="N88" i="1"/>
  <c r="M88" i="1"/>
  <c r="P86" i="1"/>
  <c r="O86" i="1"/>
  <c r="N86" i="1"/>
  <c r="M86" i="1"/>
  <c r="L86" i="1"/>
  <c r="P83" i="1"/>
  <c r="O83" i="1"/>
  <c r="N83" i="1"/>
  <c r="M83" i="1"/>
  <c r="L83" i="1"/>
  <c r="P81" i="1"/>
  <c r="O81" i="1"/>
  <c r="N81" i="1"/>
  <c r="M81" i="1"/>
  <c r="P78" i="1"/>
  <c r="O78" i="1"/>
  <c r="N78" i="1"/>
  <c r="M78" i="1"/>
  <c r="P76" i="1"/>
  <c r="O76" i="1"/>
  <c r="N76" i="1"/>
  <c r="M76" i="1"/>
  <c r="L76" i="1"/>
  <c r="P73" i="1"/>
  <c r="O73" i="1"/>
  <c r="N73" i="1"/>
  <c r="M73" i="1"/>
  <c r="L73" i="1"/>
  <c r="L85" i="1"/>
  <c r="M85" i="1"/>
  <c r="N85" i="1"/>
  <c r="O85" i="1"/>
  <c r="P85" i="1"/>
  <c r="M80" i="1"/>
  <c r="N80" i="1"/>
  <c r="O80" i="1"/>
  <c r="P80" i="1"/>
  <c r="L75" i="1"/>
  <c r="M75" i="1"/>
  <c r="N75" i="1"/>
  <c r="O75" i="1"/>
  <c r="P75" i="1"/>
  <c r="P115" i="1"/>
  <c r="O115" i="1"/>
  <c r="N115" i="1"/>
  <c r="M115" i="1"/>
  <c r="P114" i="1"/>
  <c r="O114" i="1"/>
  <c r="N114" i="1"/>
  <c r="M114" i="1"/>
  <c r="P112" i="1"/>
  <c r="O112" i="1"/>
  <c r="N112" i="1"/>
  <c r="M112" i="1"/>
  <c r="L112" i="1"/>
  <c r="P111" i="1"/>
  <c r="O111" i="1"/>
  <c r="N111" i="1"/>
  <c r="M111" i="1"/>
  <c r="L111" i="1"/>
  <c r="P109" i="1"/>
  <c r="P107" i="1"/>
  <c r="O107" i="1"/>
  <c r="N107" i="1"/>
  <c r="P104" i="1"/>
  <c r="O104" i="1"/>
  <c r="N104" i="1"/>
  <c r="M104" i="1"/>
  <c r="P103" i="1"/>
  <c r="O103" i="1"/>
  <c r="N103" i="1"/>
  <c r="M103" i="1"/>
  <c r="P101" i="1"/>
  <c r="O101" i="1"/>
  <c r="P100" i="1"/>
  <c r="O100" i="1"/>
  <c r="P98" i="1"/>
  <c r="O98" i="1"/>
  <c r="N98" i="1"/>
  <c r="P97" i="1"/>
  <c r="O97" i="1"/>
  <c r="P92" i="1"/>
  <c r="O92" i="1"/>
  <c r="N92" i="1"/>
  <c r="M92" i="1"/>
  <c r="L92" i="1"/>
  <c r="P91" i="1"/>
  <c r="O91" i="1"/>
  <c r="N91" i="1"/>
  <c r="M91" i="1"/>
  <c r="L91" i="1"/>
  <c r="P89" i="1"/>
  <c r="O89" i="1"/>
  <c r="N89" i="1"/>
  <c r="M89" i="1"/>
  <c r="P87" i="1"/>
  <c r="O87" i="1"/>
  <c r="N87" i="1"/>
  <c r="M87" i="1"/>
  <c r="P84" i="1"/>
  <c r="O84" i="1"/>
  <c r="N84" i="1"/>
  <c r="M84" i="1"/>
  <c r="L84" i="1"/>
  <c r="P82" i="1"/>
  <c r="O82" i="1"/>
  <c r="N82" i="1"/>
  <c r="M82" i="1"/>
  <c r="L82" i="1"/>
  <c r="P79" i="1"/>
  <c r="O79" i="1"/>
  <c r="N79" i="1"/>
  <c r="M79" i="1"/>
  <c r="P77" i="1"/>
  <c r="O77" i="1"/>
  <c r="N77" i="1"/>
  <c r="M77" i="1"/>
  <c r="P74" i="1"/>
  <c r="O74" i="1"/>
  <c r="N74" i="1"/>
  <c r="M74" i="1"/>
  <c r="L74" i="1"/>
  <c r="P72" i="1"/>
  <c r="O72" i="1"/>
  <c r="N72" i="1"/>
  <c r="M72" i="1"/>
  <c r="L72" i="1"/>
  <c r="P67" i="1"/>
  <c r="O67" i="1"/>
  <c r="N67" i="1"/>
  <c r="M67" i="1"/>
  <c r="P66" i="1"/>
  <c r="O66" i="1"/>
  <c r="N66" i="1"/>
  <c r="M66" i="1"/>
  <c r="P64" i="1"/>
  <c r="O64" i="1"/>
  <c r="N64" i="1"/>
  <c r="M64" i="1"/>
  <c r="P63" i="1"/>
  <c r="O63" i="1"/>
  <c r="N63" i="1"/>
  <c r="M63" i="1"/>
  <c r="P61" i="1"/>
  <c r="O61" i="1"/>
  <c r="N61" i="1"/>
  <c r="M61" i="1"/>
  <c r="P60" i="1"/>
  <c r="O60" i="1"/>
  <c r="N60" i="1"/>
  <c r="P58" i="1"/>
  <c r="O58" i="1"/>
  <c r="N58" i="1"/>
  <c r="M58" i="1"/>
  <c r="P57" i="1"/>
  <c r="O57" i="1"/>
  <c r="N57" i="1"/>
  <c r="M57" i="1"/>
  <c r="P55" i="1"/>
  <c r="O55" i="1"/>
  <c r="N55" i="1"/>
  <c r="M55" i="1"/>
  <c r="P54" i="1"/>
  <c r="O54" i="1"/>
  <c r="N54" i="1"/>
  <c r="M54" i="1"/>
  <c r="P29" i="1"/>
  <c r="O29" i="1"/>
  <c r="N29" i="1"/>
  <c r="M29" i="1"/>
  <c r="P26" i="1"/>
  <c r="O26" i="1"/>
  <c r="N26" i="1"/>
  <c r="M26" i="1"/>
  <c r="P24" i="1"/>
  <c r="O24" i="1"/>
  <c r="N24" i="1"/>
  <c r="M24" i="1"/>
  <c r="P21" i="1"/>
  <c r="O21" i="1"/>
  <c r="N21" i="1"/>
  <c r="M21" i="1"/>
  <c r="M28" i="1"/>
  <c r="N28" i="1"/>
  <c r="O28" i="1"/>
  <c r="P28" i="1"/>
  <c r="M23" i="1"/>
  <c r="N23" i="1"/>
  <c r="O23" i="1"/>
  <c r="P23" i="1"/>
  <c r="P31" i="1"/>
  <c r="O31" i="1"/>
  <c r="N31" i="1"/>
  <c r="M31" i="1"/>
  <c r="P30" i="1"/>
  <c r="O30" i="1"/>
  <c r="N30" i="1"/>
  <c r="M30" i="1"/>
  <c r="P27" i="1"/>
  <c r="O27" i="1"/>
  <c r="N27" i="1"/>
  <c r="M27" i="1"/>
  <c r="P25" i="1"/>
  <c r="O25" i="1"/>
  <c r="N25" i="1"/>
  <c r="M25" i="1"/>
  <c r="P22" i="1"/>
  <c r="O22" i="1"/>
  <c r="N22" i="1"/>
  <c r="M22" i="1"/>
  <c r="P20" i="1"/>
  <c r="O20" i="1"/>
  <c r="N20" i="1"/>
  <c r="M20" i="1"/>
  <c r="P19" i="1"/>
  <c r="O19" i="1"/>
  <c r="N19" i="1"/>
  <c r="M19" i="1"/>
  <c r="P18" i="1"/>
  <c r="O18" i="1"/>
  <c r="N18" i="1"/>
  <c r="M18" i="1"/>
  <c r="P16" i="1"/>
  <c r="O16" i="1"/>
  <c r="N16" i="1"/>
</calcChain>
</file>

<file path=xl/sharedStrings.xml><?xml version="1.0" encoding="utf-8"?>
<sst xmlns="http://schemas.openxmlformats.org/spreadsheetml/2006/main" count="106" uniqueCount="106">
  <si>
    <t>ø300</t>
  </si>
  <si>
    <t>ø350</t>
  </si>
  <si>
    <t>ø400</t>
  </si>
  <si>
    <t>ф100</t>
  </si>
  <si>
    <t>ф110</t>
  </si>
  <si>
    <t>ф120</t>
  </si>
  <si>
    <t>ф130</t>
  </si>
  <si>
    <t>ф140</t>
  </si>
  <si>
    <t>ф150</t>
  </si>
  <si>
    <t>ф160</t>
  </si>
  <si>
    <t>ф200</t>
  </si>
  <si>
    <t>ф250</t>
  </si>
  <si>
    <t>Труба 1м, 08 мм</t>
  </si>
  <si>
    <t>Труба 1м, 1мм</t>
  </si>
  <si>
    <t>Труба 05 м, 08 мм</t>
  </si>
  <si>
    <t>Труба 05 м, 1 мм</t>
  </si>
  <si>
    <t>Труба 0,3 м, 08 мм</t>
  </si>
  <si>
    <t>Труба 0,3 м, 1мм</t>
  </si>
  <si>
    <t>Кагла 08 мм</t>
  </si>
  <si>
    <t>Кагла 1мм</t>
  </si>
  <si>
    <t>Труба 1м к/к 1мм</t>
  </si>
  <si>
    <t>Труба 1м к/оц 1мм</t>
  </si>
  <si>
    <t>Труба  0,5м к/к 1мм</t>
  </si>
  <si>
    <t>Труба  0,5м к/оц 1мм</t>
  </si>
  <si>
    <t>Труба  0,3м к/к 1мм</t>
  </si>
  <si>
    <t>Труба  0,3м к/оц 08 мм</t>
  </si>
  <si>
    <t>Труба  0,3м к/оц 1 мм</t>
  </si>
  <si>
    <t>ф180</t>
  </si>
  <si>
    <t>ф100|160</t>
  </si>
  <si>
    <t>ф110/180</t>
  </si>
  <si>
    <t>ф120/180</t>
  </si>
  <si>
    <t>ф130/200</t>
  </si>
  <si>
    <t>ф140/200</t>
  </si>
  <si>
    <t>ф150/220</t>
  </si>
  <si>
    <t>ф160/220</t>
  </si>
  <si>
    <t>ф180/250</t>
  </si>
  <si>
    <t>ф200/260</t>
  </si>
  <si>
    <t>ф230/300</t>
  </si>
  <si>
    <t>ф250/320</t>
  </si>
  <si>
    <t>ф300/360</t>
  </si>
  <si>
    <t>ф350/420</t>
  </si>
  <si>
    <t>ф400/460</t>
  </si>
  <si>
    <t>ф230</t>
  </si>
  <si>
    <t>Грибок 1мм</t>
  </si>
  <si>
    <t>Конус термо к/к 1мм</t>
  </si>
  <si>
    <t>Грибок термо 1мм</t>
  </si>
  <si>
    <t>Конус термо к/к 0,8мм</t>
  </si>
  <si>
    <t>Конус термо к/оц 0,8мм</t>
  </si>
  <si>
    <t>Конус термо к/оц 1мм</t>
  </si>
  <si>
    <t>Труба  0,3м к/к 0,8мм</t>
  </si>
  <si>
    <t>Труба  0,5м к/оц 0,8мм</t>
  </si>
  <si>
    <t>Труба 1м к/оц 0,8мм</t>
  </si>
  <si>
    <t>Труба  0,5м к/к 0,8мм</t>
  </si>
  <si>
    <t>Труба 1м к/к 0,8мм</t>
  </si>
  <si>
    <t>ф220</t>
  </si>
  <si>
    <t>ф220/280</t>
  </si>
  <si>
    <r>
      <t xml:space="preserve"> </t>
    </r>
    <r>
      <rPr>
        <b/>
        <sz val="28"/>
        <rFont val="Arial"/>
        <family val="2"/>
        <charset val="204"/>
      </rPr>
      <t xml:space="preserve">AISI 321    </t>
    </r>
  </si>
  <si>
    <t>Ціни на труби та комплектуючі к димарям з нержавеючої сталі AISI 321</t>
  </si>
  <si>
    <t>Диаметр внутрішній</t>
  </si>
  <si>
    <t>Коліно 90°, 08 мм</t>
  </si>
  <si>
    <t>Коліно 90°, 1мм</t>
  </si>
  <si>
    <t>Коліно 45°, 08 мм</t>
  </si>
  <si>
    <t>Коліно 45°, 1мм</t>
  </si>
  <si>
    <t>Трійник 87° 08 мм</t>
  </si>
  <si>
    <t>Трійник 87° 1мм</t>
  </si>
  <si>
    <t>Трійник 45° 08 мм</t>
  </si>
  <si>
    <t>Трійник 45° 1мм</t>
  </si>
  <si>
    <t>Ревізія 08 мм</t>
  </si>
  <si>
    <t>Ревізія 1мм</t>
  </si>
  <si>
    <t>Перехідник 08 мм</t>
  </si>
  <si>
    <t>Перехідник 1мм</t>
  </si>
  <si>
    <t>Ціни на труби та комплектуючі к димарям з термоізоляцієй із сталі AISI 321</t>
  </si>
  <si>
    <t>Діаметр  внурішній</t>
  </si>
  <si>
    <t>Трійник 87° к/к 0,8мм</t>
  </si>
  <si>
    <t>Трійник 87° к/к 1мм</t>
  </si>
  <si>
    <t>Трійник 87° к/оц 0,8мм</t>
  </si>
  <si>
    <t>Трійник 87° к/оц 1мм</t>
  </si>
  <si>
    <t>Трійник 45° к/к 0,8мм</t>
  </si>
  <si>
    <t>Трійник 45° к/к 1мм</t>
  </si>
  <si>
    <t>Трійник 87° 08мм із ревіз</t>
  </si>
  <si>
    <t>Трійник 87° 1мм із ревіз</t>
  </si>
  <si>
    <t>Трійник 45° 08мм із ревіз</t>
  </si>
  <si>
    <t>Трійник 45° 1мм із ревиз</t>
  </si>
  <si>
    <t>Трійник 87° к/к 0,8мм із ревіз</t>
  </si>
  <si>
    <t>Трійник 87° к/к 1мм із ревіз</t>
  </si>
  <si>
    <t>Трійник 45° к/оц 08 мм</t>
  </si>
  <si>
    <t>Трійник 87° к/оц 0,8мм із ревіз</t>
  </si>
  <si>
    <t>Трійник 87° к/оц 1мм із ревіз</t>
  </si>
  <si>
    <t>Трійник 45° к/к 0,8мм із ревіз</t>
  </si>
  <si>
    <t>Трійник 45° к/к 1мм із ревіз</t>
  </si>
  <si>
    <t>Трійник 45° к/оц 08 мм із ревіз</t>
  </si>
  <si>
    <t>Трійник 45° к/оц 1мм</t>
  </si>
  <si>
    <t>Трійник 45° к/оц 1мм із ревіз</t>
  </si>
  <si>
    <t>Коліно 90° к/к 0,8мм</t>
  </si>
  <si>
    <t>Коліно 90° к/к 1мм</t>
  </si>
  <si>
    <t>Коліно 90° к/оц 0,8мм</t>
  </si>
  <si>
    <t>Коліно 90° к/оц 1 мм</t>
  </si>
  <si>
    <t>Коліно 45° к/к 0,8мм</t>
  </si>
  <si>
    <t>Коліно 45° к/к 1мм</t>
  </si>
  <si>
    <t>Коліно 45° к/оц 0,8мм</t>
  </si>
  <si>
    <t>Коліно 45° к/оц 1мм</t>
  </si>
  <si>
    <t>Ревізія к/к 08 мм</t>
  </si>
  <si>
    <t>Ревізія к/к 1 мм</t>
  </si>
  <si>
    <t>Ревізія к/оц 0,8мм</t>
  </si>
  <si>
    <t>Ревізія к/оц 1мм</t>
  </si>
  <si>
    <t>Також є можливість  виготовляти різні елементи з нержавіючою сталі та оцинкованої сталі по індивідуальному
 замовленню кліента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</si>
</sst>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28"/>
      <name val="Arial"/>
      <family val="2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sz val="2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0"/>
      <name val="Arial"/>
      <family val="2"/>
      <charset val="204"/>
    </font>
    <font>
      <sz val="14"/>
      <color theme="0"/>
      <name val="Arial"/>
      <family val="2"/>
      <charset val="204"/>
    </font>
    <font>
      <sz val="13"/>
      <color theme="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3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NumberFormat="1" applyFont="1" applyFill="1" applyBorder="1"/>
    <xf numFmtId="0" fontId="0" fillId="0" borderId="0" xfId="0" applyFill="1"/>
    <xf numFmtId="0" fontId="6" fillId="0" borderId="0" xfId="0" applyFont="1" applyFill="1"/>
    <xf numFmtId="0" fontId="9" fillId="0" borderId="0" xfId="0" applyFont="1" applyFill="1"/>
    <xf numFmtId="49" fontId="0" fillId="0" borderId="0" xfId="0" applyNumberFormat="1" applyFill="1"/>
    <xf numFmtId="49" fontId="0" fillId="0" borderId="0" xfId="0" applyNumberFormat="1" applyFill="1" applyBorder="1"/>
    <xf numFmtId="0" fontId="0" fillId="0" borderId="0" xfId="0" applyFill="1" applyBorder="1"/>
    <xf numFmtId="49" fontId="13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1" fontId="3" fillId="0" borderId="1" xfId="0" applyNumberFormat="1" applyFont="1" applyFill="1" applyBorder="1" applyProtection="1">
      <protection hidden="1"/>
    </xf>
    <xf numFmtId="1" fontId="11" fillId="3" borderId="1" xfId="0" applyNumberFormat="1" applyFont="1" applyFill="1" applyBorder="1" applyProtection="1">
      <protection hidden="1"/>
    </xf>
    <xf numFmtId="0" fontId="2" fillId="2" borderId="6" xfId="0" applyFont="1" applyFill="1" applyBorder="1" applyAlignment="1" applyProtection="1">
      <alignment horizontal="left"/>
      <protection hidden="1"/>
    </xf>
    <xf numFmtId="0" fontId="2" fillId="2" borderId="7" xfId="0" applyFont="1" applyFill="1" applyBorder="1" applyAlignment="1" applyProtection="1">
      <alignment horizontal="center"/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4" fillId="0" borderId="2" xfId="0" applyFont="1" applyFill="1" applyBorder="1" applyProtection="1">
      <protection hidden="1"/>
    </xf>
    <xf numFmtId="1" fontId="3" fillId="0" borderId="2" xfId="0" applyNumberFormat="1" applyFont="1" applyFill="1" applyBorder="1" applyProtection="1">
      <protection hidden="1"/>
    </xf>
    <xf numFmtId="0" fontId="4" fillId="0" borderId="1" xfId="0" applyFont="1" applyFill="1" applyBorder="1" applyProtection="1">
      <protection hidden="1"/>
    </xf>
    <xf numFmtId="0" fontId="10" fillId="3" borderId="1" xfId="0" applyFont="1" applyFill="1" applyBorder="1" applyProtection="1">
      <protection hidden="1"/>
    </xf>
    <xf numFmtId="1" fontId="12" fillId="3" borderId="1" xfId="0" applyNumberFormat="1" applyFont="1" applyFill="1" applyBorder="1" applyProtection="1">
      <protection hidden="1"/>
    </xf>
    <xf numFmtId="0" fontId="3" fillId="0" borderId="1" xfId="0" applyFont="1" applyFill="1" applyBorder="1" applyProtection="1">
      <protection hidden="1"/>
    </xf>
    <xf numFmtId="0" fontId="4" fillId="0" borderId="9" xfId="0" applyFont="1" applyFill="1" applyBorder="1" applyProtection="1">
      <protection hidden="1"/>
    </xf>
    <xf numFmtId="0" fontId="3" fillId="0" borderId="9" xfId="0" applyFont="1" applyFill="1" applyBorder="1" applyProtection="1"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7" fillId="2" borderId="7" xfId="0" applyFont="1" applyFill="1" applyBorder="1" applyAlignment="1" applyProtection="1">
      <alignment horizontal="center"/>
      <protection hidden="1"/>
    </xf>
    <xf numFmtId="0" fontId="7" fillId="2" borderId="8" xfId="0" applyFont="1" applyFill="1" applyBorder="1" applyAlignment="1" applyProtection="1">
      <alignment horizontal="center"/>
      <protection hidden="1"/>
    </xf>
    <xf numFmtId="9" fontId="4" fillId="0" borderId="1" xfId="1" applyFont="1" applyFill="1" applyBorder="1" applyProtection="1">
      <protection hidden="1"/>
    </xf>
    <xf numFmtId="1" fontId="3" fillId="0" borderId="9" xfId="0" applyNumberFormat="1" applyFont="1" applyFill="1" applyBorder="1" applyProtection="1">
      <protection hidden="1"/>
    </xf>
    <xf numFmtId="0" fontId="15" fillId="4" borderId="1" xfId="0" applyFont="1" applyFill="1" applyBorder="1" applyProtection="1">
      <protection hidden="1"/>
    </xf>
    <xf numFmtId="0" fontId="15" fillId="0" borderId="1" xfId="0" applyFont="1" applyFill="1" applyBorder="1" applyProtection="1">
      <protection hidden="1"/>
    </xf>
    <xf numFmtId="1" fontId="16" fillId="0" borderId="1" xfId="0" applyNumberFormat="1" applyFont="1" applyFill="1" applyBorder="1" applyProtection="1">
      <protection hidden="1"/>
    </xf>
    <xf numFmtId="1" fontId="17" fillId="0" borderId="1" xfId="0" applyNumberFormat="1" applyFont="1" applyFill="1" applyBorder="1" applyProtection="1">
      <protection hidden="1"/>
    </xf>
    <xf numFmtId="0" fontId="2" fillId="0" borderId="10" xfId="0" applyFont="1" applyFill="1" applyBorder="1" applyAlignment="1" applyProtection="1">
      <alignment horizontal="center" wrapText="1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1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0</xdr:row>
      <xdr:rowOff>9525</xdr:rowOff>
    </xdr:from>
    <xdr:to>
      <xdr:col>15</xdr:col>
      <xdr:colOff>471130</xdr:colOff>
      <xdr:row>1</xdr:row>
      <xdr:rowOff>194597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74847" y="9525"/>
          <a:ext cx="6985718" cy="10658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400" b="1"/>
            <a:t> </a:t>
          </a:r>
          <a:endParaRPr lang="ru-RU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0"/>
  <sheetViews>
    <sheetView tabSelected="1" topLeftCell="A76" zoomScale="80" zoomScaleNormal="80" workbookViewId="0">
      <selection activeCell="A120" sqref="A120"/>
    </sheetView>
  </sheetViews>
  <sheetFormatPr defaultRowHeight="15" x14ac:dyDescent="0.25"/>
  <cols>
    <col min="1" max="1" width="41.42578125" style="4" customWidth="1"/>
    <col min="2" max="2" width="9.42578125" style="4" customWidth="1"/>
    <col min="3" max="3" width="10.5703125" style="4" customWidth="1"/>
    <col min="4" max="4" width="10.42578125" style="4" customWidth="1"/>
    <col min="5" max="5" width="9.5703125" style="4" customWidth="1"/>
    <col min="6" max="6" width="10.85546875" style="4" customWidth="1"/>
    <col min="7" max="7" width="10.140625" style="4" customWidth="1"/>
    <col min="8" max="8" width="9.7109375" style="4" customWidth="1"/>
    <col min="9" max="9" width="10" style="4" customWidth="1"/>
    <col min="10" max="10" width="9.5703125" style="4" customWidth="1"/>
    <col min="11" max="11" width="9.7109375" style="4" customWidth="1"/>
    <col min="12" max="12" width="10.28515625" style="4" customWidth="1"/>
    <col min="13" max="13" width="9.7109375" style="4" customWidth="1"/>
    <col min="14" max="14" width="9.42578125" style="4" customWidth="1"/>
    <col min="15" max="15" width="11.140625" style="4" customWidth="1"/>
    <col min="16" max="16" width="9.140625" style="4" bestFit="1" customWidth="1"/>
    <col min="17" max="17" width="12.140625" style="5" customWidth="1"/>
    <col min="18" max="18" width="30.7109375" style="2" bestFit="1" customWidth="1"/>
    <col min="19" max="19" width="9.140625" style="2"/>
  </cols>
  <sheetData>
    <row r="1" spans="1:18" s="2" customFormat="1" ht="69" customHeight="1" x14ac:dyDescent="0.25">
      <c r="A1" s="40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  <c r="Q1" s="5"/>
    </row>
    <row r="2" spans="1:18" s="2" customFormat="1" ht="18" customHeight="1" thickBot="1" x14ac:dyDescent="0.3">
      <c r="A2" s="41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6"/>
      <c r="R2" s="7"/>
    </row>
    <row r="3" spans="1:18" s="2" customFormat="1" ht="15.75" x14ac:dyDescent="0.25">
      <c r="A3" s="39" t="s">
        <v>57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  <c r="Q3" s="6"/>
      <c r="R3" s="7"/>
    </row>
    <row r="4" spans="1:18" s="2" customFormat="1" ht="18" customHeight="1" thickBot="1" x14ac:dyDescent="0.3">
      <c r="A4" s="13" t="s">
        <v>58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27</v>
      </c>
      <c r="J4" s="14" t="s">
        <v>10</v>
      </c>
      <c r="K4" s="14" t="s">
        <v>54</v>
      </c>
      <c r="L4" s="14" t="s">
        <v>42</v>
      </c>
      <c r="M4" s="14" t="s">
        <v>11</v>
      </c>
      <c r="N4" s="14" t="s">
        <v>0</v>
      </c>
      <c r="O4" s="14" t="s">
        <v>1</v>
      </c>
      <c r="P4" s="15" t="s">
        <v>2</v>
      </c>
      <c r="Q4" s="6"/>
      <c r="R4" s="7"/>
    </row>
    <row r="5" spans="1:18" s="2" customFormat="1" ht="18" hidden="1" x14ac:dyDescent="0.25">
      <c r="A5" s="16"/>
      <c r="B5" s="17">
        <v>196</v>
      </c>
      <c r="C5" s="17">
        <v>209</v>
      </c>
      <c r="D5" s="17">
        <v>236</v>
      </c>
      <c r="E5" s="17">
        <v>262</v>
      </c>
      <c r="F5" s="17">
        <v>286</v>
      </c>
      <c r="G5" s="17">
        <v>295</v>
      </c>
      <c r="H5" s="17">
        <v>319</v>
      </c>
      <c r="I5" s="17">
        <v>347</v>
      </c>
      <c r="J5" s="17">
        <v>391</v>
      </c>
      <c r="K5" s="17"/>
      <c r="L5" s="17">
        <v>468</v>
      </c>
      <c r="M5" s="17">
        <v>611</v>
      </c>
      <c r="N5" s="17">
        <v>948</v>
      </c>
      <c r="O5" s="17">
        <v>1081</v>
      </c>
      <c r="P5" s="17">
        <v>1221</v>
      </c>
      <c r="Q5" s="6"/>
      <c r="R5" s="7"/>
    </row>
    <row r="6" spans="1:18" s="2" customFormat="1" ht="18" x14ac:dyDescent="0.25">
      <c r="A6" s="18" t="s">
        <v>12</v>
      </c>
      <c r="B6" s="11">
        <v>925</v>
      </c>
      <c r="C6" s="11">
        <v>1016</v>
      </c>
      <c r="D6" s="11">
        <v>1108</v>
      </c>
      <c r="E6" s="11">
        <v>1200</v>
      </c>
      <c r="F6" s="11">
        <v>1291</v>
      </c>
      <c r="G6" s="11">
        <v>1385</v>
      </c>
      <c r="H6" s="11">
        <v>1477</v>
      </c>
      <c r="I6" s="11">
        <v>1662</v>
      </c>
      <c r="J6" s="11">
        <v>1846</v>
      </c>
      <c r="K6" s="11">
        <v>2031</v>
      </c>
      <c r="L6" s="11">
        <v>2123</v>
      </c>
      <c r="M6" s="11">
        <v>2308</v>
      </c>
      <c r="N6" s="11">
        <v>2769</v>
      </c>
      <c r="O6" s="11">
        <v>3231</v>
      </c>
      <c r="P6" s="11">
        <v>3693</v>
      </c>
      <c r="Q6" s="6"/>
      <c r="R6" s="7"/>
    </row>
    <row r="7" spans="1:18" s="2" customFormat="1" ht="18" x14ac:dyDescent="0.25">
      <c r="A7" s="19" t="s">
        <v>13</v>
      </c>
      <c r="B7" s="12">
        <v>1112</v>
      </c>
      <c r="C7" s="12">
        <v>1225</v>
      </c>
      <c r="D7" s="12">
        <v>1339</v>
      </c>
      <c r="E7" s="12">
        <v>1450</v>
      </c>
      <c r="F7" s="12">
        <v>1561</v>
      </c>
      <c r="G7" s="12">
        <v>1673</v>
      </c>
      <c r="H7" s="12">
        <v>1784</v>
      </c>
      <c r="I7" s="12">
        <v>2006</v>
      </c>
      <c r="J7" s="12">
        <v>2230</v>
      </c>
      <c r="K7" s="12">
        <v>2453</v>
      </c>
      <c r="L7" s="12">
        <v>2564</v>
      </c>
      <c r="M7" s="12">
        <v>2787</v>
      </c>
      <c r="N7" s="12">
        <v>3678</v>
      </c>
      <c r="O7" s="12">
        <v>4293</v>
      </c>
      <c r="P7" s="12">
        <v>4905</v>
      </c>
      <c r="Q7" s="6"/>
      <c r="R7" s="7"/>
    </row>
    <row r="8" spans="1:18" s="2" customFormat="1" ht="18" hidden="1" x14ac:dyDescent="0.25">
      <c r="A8" s="18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6"/>
      <c r="R8" s="7"/>
    </row>
    <row r="9" spans="1:18" s="2" customFormat="1" ht="18" x14ac:dyDescent="0.25">
      <c r="A9" s="18" t="s">
        <v>14</v>
      </c>
      <c r="B9" s="11">
        <v>477</v>
      </c>
      <c r="C9" s="11">
        <v>526</v>
      </c>
      <c r="D9" s="11">
        <v>574</v>
      </c>
      <c r="E9" s="11">
        <v>623</v>
      </c>
      <c r="F9" s="11">
        <v>670</v>
      </c>
      <c r="G9" s="11">
        <v>718</v>
      </c>
      <c r="H9" s="11">
        <v>766</v>
      </c>
      <c r="I9" s="11">
        <v>862</v>
      </c>
      <c r="J9" s="11">
        <v>957</v>
      </c>
      <c r="K9" s="11">
        <v>1053</v>
      </c>
      <c r="L9" s="11">
        <v>1101</v>
      </c>
      <c r="M9" s="11">
        <v>1197</v>
      </c>
      <c r="N9" s="11">
        <v>1436</v>
      </c>
      <c r="O9" s="11">
        <v>1675</v>
      </c>
      <c r="P9" s="11">
        <v>1914</v>
      </c>
      <c r="Q9" s="6"/>
      <c r="R9" s="7"/>
    </row>
    <row r="10" spans="1:18" s="2" customFormat="1" ht="18" x14ac:dyDescent="0.25">
      <c r="A10" s="19" t="s">
        <v>15</v>
      </c>
      <c r="B10" s="12">
        <v>575</v>
      </c>
      <c r="C10" s="12">
        <v>633</v>
      </c>
      <c r="D10" s="12">
        <v>690</v>
      </c>
      <c r="E10" s="12">
        <v>747</v>
      </c>
      <c r="F10" s="12">
        <v>804</v>
      </c>
      <c r="G10" s="12">
        <v>864</v>
      </c>
      <c r="H10" s="12">
        <v>921</v>
      </c>
      <c r="I10" s="12">
        <v>1035</v>
      </c>
      <c r="J10" s="12">
        <v>1151</v>
      </c>
      <c r="K10" s="12">
        <v>1265</v>
      </c>
      <c r="L10" s="12">
        <v>1322</v>
      </c>
      <c r="M10" s="12">
        <v>1439</v>
      </c>
      <c r="N10" s="12">
        <v>1725</v>
      </c>
      <c r="O10" s="12">
        <v>2013</v>
      </c>
      <c r="P10" s="12">
        <v>2300</v>
      </c>
      <c r="Q10" s="6"/>
      <c r="R10" s="1"/>
    </row>
    <row r="11" spans="1:18" s="2" customFormat="1" ht="18" hidden="1" x14ac:dyDescent="0.25">
      <c r="A11" s="18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6"/>
      <c r="R11" s="7"/>
    </row>
    <row r="12" spans="1:18" s="2" customFormat="1" ht="18" x14ac:dyDescent="0.25">
      <c r="A12" s="18" t="s">
        <v>16</v>
      </c>
      <c r="B12" s="11">
        <v>316</v>
      </c>
      <c r="C12" s="11">
        <v>348</v>
      </c>
      <c r="D12" s="11">
        <v>380</v>
      </c>
      <c r="E12" s="11">
        <v>411</v>
      </c>
      <c r="F12" s="11">
        <v>443</v>
      </c>
      <c r="G12" s="11">
        <v>475</v>
      </c>
      <c r="H12" s="11">
        <v>506</v>
      </c>
      <c r="I12" s="11">
        <v>569</v>
      </c>
      <c r="J12" s="11">
        <v>633</v>
      </c>
      <c r="K12" s="11">
        <v>696</v>
      </c>
      <c r="L12" s="11">
        <v>728</v>
      </c>
      <c r="M12" s="11">
        <v>791</v>
      </c>
      <c r="N12" s="11">
        <v>948</v>
      </c>
      <c r="O12" s="11">
        <v>1108</v>
      </c>
      <c r="P12" s="11">
        <v>1265</v>
      </c>
      <c r="Q12" s="6"/>
      <c r="R12" s="7"/>
    </row>
    <row r="13" spans="1:18" s="2" customFormat="1" ht="18" x14ac:dyDescent="0.25">
      <c r="A13" s="19" t="s">
        <v>17</v>
      </c>
      <c r="B13" s="12">
        <v>383</v>
      </c>
      <c r="C13" s="12">
        <v>421</v>
      </c>
      <c r="D13" s="12">
        <v>460</v>
      </c>
      <c r="E13" s="12">
        <v>498</v>
      </c>
      <c r="F13" s="12">
        <v>537</v>
      </c>
      <c r="G13" s="12">
        <v>575</v>
      </c>
      <c r="H13" s="12">
        <v>613</v>
      </c>
      <c r="I13" s="12">
        <v>690</v>
      </c>
      <c r="J13" s="12">
        <v>767</v>
      </c>
      <c r="K13" s="12">
        <v>844</v>
      </c>
      <c r="L13" s="12">
        <v>881</v>
      </c>
      <c r="M13" s="12">
        <v>958</v>
      </c>
      <c r="N13" s="12">
        <v>1151</v>
      </c>
      <c r="O13" s="12">
        <v>1342</v>
      </c>
      <c r="P13" s="12">
        <v>1533</v>
      </c>
      <c r="Q13" s="6"/>
      <c r="R13" s="7"/>
    </row>
    <row r="14" spans="1:18" s="2" customFormat="1" ht="18" hidden="1" x14ac:dyDescent="0.25">
      <c r="A14" s="18"/>
      <c r="B14" s="11"/>
      <c r="C14" s="11">
        <v>122</v>
      </c>
      <c r="D14" s="11">
        <v>133</v>
      </c>
      <c r="E14" s="11">
        <v>144</v>
      </c>
      <c r="F14" s="11">
        <v>155</v>
      </c>
      <c r="G14" s="11">
        <v>167</v>
      </c>
      <c r="H14" s="11">
        <v>178</v>
      </c>
      <c r="I14" s="11">
        <v>200</v>
      </c>
      <c r="J14" s="11">
        <v>222</v>
      </c>
      <c r="K14" s="11">
        <v>244</v>
      </c>
      <c r="L14" s="11">
        <v>255</v>
      </c>
      <c r="M14" s="11">
        <v>278</v>
      </c>
      <c r="N14" s="11">
        <v>333</v>
      </c>
      <c r="O14" s="11">
        <v>389</v>
      </c>
      <c r="P14" s="11">
        <v>444</v>
      </c>
      <c r="Q14" s="6"/>
      <c r="R14" s="7"/>
    </row>
    <row r="15" spans="1:18" s="2" customFormat="1" ht="18" x14ac:dyDescent="0.25">
      <c r="A15" s="18" t="s">
        <v>59</v>
      </c>
      <c r="B15" s="11">
        <v>549</v>
      </c>
      <c r="C15" s="11">
        <v>604</v>
      </c>
      <c r="D15" s="11">
        <v>658</v>
      </c>
      <c r="E15" s="11">
        <v>713</v>
      </c>
      <c r="F15" s="11">
        <v>768</v>
      </c>
      <c r="G15" s="11">
        <v>824</v>
      </c>
      <c r="H15" s="11">
        <v>879</v>
      </c>
      <c r="I15" s="11">
        <v>988</v>
      </c>
      <c r="J15" s="11">
        <v>1098</v>
      </c>
      <c r="K15" s="11">
        <v>1208</v>
      </c>
      <c r="L15" s="11">
        <v>1262</v>
      </c>
      <c r="M15" s="11">
        <v>1373</v>
      </c>
      <c r="N15" s="11">
        <v>1646</v>
      </c>
      <c r="O15" s="11">
        <v>1922</v>
      </c>
      <c r="P15" s="11">
        <v>2196</v>
      </c>
      <c r="Q15" s="6"/>
      <c r="R15" s="7"/>
    </row>
    <row r="16" spans="1:18" s="2" customFormat="1" ht="18" x14ac:dyDescent="0.25">
      <c r="A16" s="19" t="s">
        <v>60</v>
      </c>
      <c r="B16" s="12">
        <v>711</v>
      </c>
      <c r="C16" s="12">
        <v>782</v>
      </c>
      <c r="D16" s="12">
        <v>854</v>
      </c>
      <c r="E16" s="12">
        <v>924</v>
      </c>
      <c r="F16" s="12">
        <v>995</v>
      </c>
      <c r="G16" s="12">
        <v>1068</v>
      </c>
      <c r="H16" s="12">
        <v>1138</v>
      </c>
      <c r="I16" s="12">
        <v>1280</v>
      </c>
      <c r="J16" s="12">
        <v>1423</v>
      </c>
      <c r="K16" s="12">
        <v>1565</v>
      </c>
      <c r="L16" s="12">
        <v>1635</v>
      </c>
      <c r="M16" s="12">
        <v>1779</v>
      </c>
      <c r="N16" s="12">
        <f>((1646+1646*0.1)*1.3)*1.05</f>
        <v>2471</v>
      </c>
      <c r="O16" s="12">
        <f>((1800+1800*0.1)*1.3)*1.05</f>
        <v>2703</v>
      </c>
      <c r="P16" s="12">
        <f>((1852+1852*0.1)*1.3)*1.05</f>
        <v>2781</v>
      </c>
      <c r="Q16" s="6"/>
      <c r="R16" s="7"/>
    </row>
    <row r="17" spans="1:18" s="2" customFormat="1" ht="18" hidden="1" x14ac:dyDescent="0.25">
      <c r="A17" s="18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6"/>
      <c r="R17" s="7"/>
    </row>
    <row r="18" spans="1:18" s="2" customFormat="1" ht="18" x14ac:dyDescent="0.25">
      <c r="A18" s="18" t="s">
        <v>61</v>
      </c>
      <c r="B18" s="11">
        <v>332</v>
      </c>
      <c r="C18" s="11">
        <v>364</v>
      </c>
      <c r="D18" s="11">
        <v>397</v>
      </c>
      <c r="E18" s="11">
        <v>431</v>
      </c>
      <c r="F18" s="11">
        <v>463</v>
      </c>
      <c r="G18" s="11">
        <v>497</v>
      </c>
      <c r="H18" s="11">
        <v>529</v>
      </c>
      <c r="I18" s="11">
        <v>594</v>
      </c>
      <c r="J18" s="11">
        <v>660</v>
      </c>
      <c r="K18" s="11">
        <v>727</v>
      </c>
      <c r="L18" s="11">
        <v>759</v>
      </c>
      <c r="M18" s="11">
        <f>((693+693*0.1)*1.11)*1.05</f>
        <v>888</v>
      </c>
      <c r="N18" s="11">
        <f>((884+884*0.1)*1.11)*1.05</f>
        <v>1133</v>
      </c>
      <c r="O18" s="11">
        <f>((1225+1225*0.1)*1.11)*1.05</f>
        <v>1571</v>
      </c>
      <c r="P18" s="11">
        <f>((1254+1254*0.1)*1.11)*1.05</f>
        <v>1608</v>
      </c>
      <c r="Q18" s="6"/>
      <c r="R18" s="7"/>
    </row>
    <row r="19" spans="1:18" s="2" customFormat="1" ht="18" x14ac:dyDescent="0.25">
      <c r="A19" s="19" t="s">
        <v>62</v>
      </c>
      <c r="B19" s="12">
        <v>410</v>
      </c>
      <c r="C19" s="12">
        <v>450</v>
      </c>
      <c r="D19" s="12">
        <v>491</v>
      </c>
      <c r="E19" s="12">
        <v>532</v>
      </c>
      <c r="F19" s="12">
        <v>573</v>
      </c>
      <c r="G19" s="12">
        <v>614</v>
      </c>
      <c r="H19" s="12">
        <v>655</v>
      </c>
      <c r="I19" s="12">
        <v>737</v>
      </c>
      <c r="J19" s="12">
        <v>819</v>
      </c>
      <c r="K19" s="12">
        <v>901</v>
      </c>
      <c r="L19" s="12">
        <v>942</v>
      </c>
      <c r="M19" s="12">
        <f>((880+880*0.1)*1.3)*1.05</f>
        <v>1321</v>
      </c>
      <c r="N19" s="12">
        <f>((935+935*0.1)*1.3)*1.05</f>
        <v>1404</v>
      </c>
      <c r="O19" s="12">
        <f>((1441+1441*0.1)*1.3)*1.05</f>
        <v>2164</v>
      </c>
      <c r="P19" s="12">
        <f>((1474+1474*0.1)*1.3)*1.05</f>
        <v>2213</v>
      </c>
      <c r="Q19" s="6"/>
      <c r="R19" s="7"/>
    </row>
    <row r="20" spans="1:18" s="2" customFormat="1" ht="18" x14ac:dyDescent="0.25">
      <c r="A20" s="18" t="s">
        <v>63</v>
      </c>
      <c r="B20" s="11">
        <v>702</v>
      </c>
      <c r="C20" s="11">
        <v>772</v>
      </c>
      <c r="D20" s="11">
        <v>841</v>
      </c>
      <c r="E20" s="11">
        <v>912</v>
      </c>
      <c r="F20" s="11">
        <v>983</v>
      </c>
      <c r="G20" s="11">
        <v>1052</v>
      </c>
      <c r="H20" s="11">
        <v>1122</v>
      </c>
      <c r="I20" s="11">
        <v>1263</v>
      </c>
      <c r="J20" s="11">
        <v>1403</v>
      </c>
      <c r="K20" s="11">
        <v>1544</v>
      </c>
      <c r="L20" s="11">
        <v>1614</v>
      </c>
      <c r="M20" s="11">
        <f>((1654+1654*0.1)*1.11)*1.05</f>
        <v>2121</v>
      </c>
      <c r="N20" s="11">
        <f>((2566+2566*0.1)*1.11)*1.05</f>
        <v>3290</v>
      </c>
      <c r="O20" s="11">
        <f>((2593+2593*0.1)*1.11)*1.05</f>
        <v>3324</v>
      </c>
      <c r="P20" s="11">
        <f>((2721+2721*0.1)*1.11)*1.05</f>
        <v>3488</v>
      </c>
      <c r="Q20" s="6"/>
      <c r="R20" s="7"/>
    </row>
    <row r="21" spans="1:18" s="2" customFormat="1" ht="18.75" x14ac:dyDescent="0.25">
      <c r="A21" s="19" t="s">
        <v>79</v>
      </c>
      <c r="B21" s="12">
        <v>1302</v>
      </c>
      <c r="C21" s="12">
        <v>1372</v>
      </c>
      <c r="D21" s="12">
        <v>1441</v>
      </c>
      <c r="E21" s="12">
        <v>1512</v>
      </c>
      <c r="F21" s="12">
        <v>1583</v>
      </c>
      <c r="G21" s="12">
        <v>1652</v>
      </c>
      <c r="H21" s="12">
        <v>1722</v>
      </c>
      <c r="I21" s="12">
        <v>1863</v>
      </c>
      <c r="J21" s="12">
        <v>2003</v>
      </c>
      <c r="K21" s="12">
        <v>2144</v>
      </c>
      <c r="L21" s="12">
        <v>2214</v>
      </c>
      <c r="M21" s="12">
        <f>(((1654+1654*0.1)*1.11)*1.05)+600</f>
        <v>2721</v>
      </c>
      <c r="N21" s="12">
        <f>(((2566+2566*0.1)*1.11)*1.05)+600</f>
        <v>3890</v>
      </c>
      <c r="O21" s="12">
        <f>(((2593+2593*0.1)*1.11)*1.05)+600</f>
        <v>3924</v>
      </c>
      <c r="P21" s="12">
        <f>(((2721+2721*0.1)*1.11)*1.05)+600</f>
        <v>4088</v>
      </c>
      <c r="Q21" s="8"/>
      <c r="R21" s="7"/>
    </row>
    <row r="22" spans="1:18" s="2" customFormat="1" ht="18.75" x14ac:dyDescent="0.25">
      <c r="A22" s="30" t="s">
        <v>64</v>
      </c>
      <c r="B22" s="31">
        <v>903</v>
      </c>
      <c r="C22" s="31">
        <v>993</v>
      </c>
      <c r="D22" s="31">
        <v>1084</v>
      </c>
      <c r="E22" s="31">
        <v>1175</v>
      </c>
      <c r="F22" s="31">
        <v>1265</v>
      </c>
      <c r="G22" s="31">
        <v>1356</v>
      </c>
      <c r="H22" s="31">
        <v>1446</v>
      </c>
      <c r="I22" s="31">
        <v>1628</v>
      </c>
      <c r="J22" s="31">
        <v>1807</v>
      </c>
      <c r="K22" s="31">
        <v>1988</v>
      </c>
      <c r="L22" s="31">
        <v>2079</v>
      </c>
      <c r="M22" s="31">
        <f>((2317+2317*0.1)*1.3)*1.05</f>
        <v>3479</v>
      </c>
      <c r="N22" s="31">
        <f>((3092+3092*0.1)*1.3)*1.05</f>
        <v>4643</v>
      </c>
      <c r="O22" s="31">
        <f>((3234+3234*0.1)*1.3)*1.05</f>
        <v>4856</v>
      </c>
      <c r="P22" s="31">
        <f>((3819+3819*0.1)*1.3)*1.05</f>
        <v>5734</v>
      </c>
      <c r="Q22" s="8"/>
      <c r="R22" s="7"/>
    </row>
    <row r="23" spans="1:18" s="2" customFormat="1" ht="18.75" hidden="1" x14ac:dyDescent="0.25">
      <c r="A23" s="29"/>
      <c r="B23" s="31">
        <v>903</v>
      </c>
      <c r="C23" s="31">
        <v>993</v>
      </c>
      <c r="D23" s="31">
        <v>1084</v>
      </c>
      <c r="E23" s="31">
        <v>1175</v>
      </c>
      <c r="F23" s="31">
        <v>1265</v>
      </c>
      <c r="G23" s="31">
        <v>1356</v>
      </c>
      <c r="H23" s="31">
        <v>1446</v>
      </c>
      <c r="I23" s="31">
        <v>1628</v>
      </c>
      <c r="J23" s="31">
        <v>1807</v>
      </c>
      <c r="K23" s="31">
        <v>1988</v>
      </c>
      <c r="L23" s="31">
        <v>2079</v>
      </c>
      <c r="M23" s="31">
        <f t="shared" ref="M23" si="0">((2317+2317*0.1)*1.3)*1.05</f>
        <v>3479</v>
      </c>
      <c r="N23" s="31">
        <f t="shared" ref="N23" si="1">((3092+3092*0.1)*1.3)*1.05</f>
        <v>4643</v>
      </c>
      <c r="O23" s="31">
        <f t="shared" ref="O23" si="2">((3234+3234*0.1)*1.3)*1.05</f>
        <v>4856</v>
      </c>
      <c r="P23" s="31">
        <f t="shared" ref="P23" si="3">((3819+3819*0.1)*1.3)*1.05</f>
        <v>5734</v>
      </c>
      <c r="Q23" s="8"/>
      <c r="R23" s="7"/>
    </row>
    <row r="24" spans="1:18" s="2" customFormat="1" ht="18.75" x14ac:dyDescent="0.25">
      <c r="A24" s="19" t="s">
        <v>80</v>
      </c>
      <c r="B24" s="12">
        <v>1503</v>
      </c>
      <c r="C24" s="12">
        <v>1593</v>
      </c>
      <c r="D24" s="12">
        <v>1684</v>
      </c>
      <c r="E24" s="12">
        <v>1775</v>
      </c>
      <c r="F24" s="12">
        <v>1865</v>
      </c>
      <c r="G24" s="12">
        <v>1956</v>
      </c>
      <c r="H24" s="12">
        <v>2046</v>
      </c>
      <c r="I24" s="12">
        <v>2228</v>
      </c>
      <c r="J24" s="12">
        <v>2407</v>
      </c>
      <c r="K24" s="12">
        <v>2588</v>
      </c>
      <c r="L24" s="12">
        <v>2679</v>
      </c>
      <c r="M24" s="12">
        <f>(((2317+2317*0.1)*1.3)*1.05)+600</f>
        <v>4079</v>
      </c>
      <c r="N24" s="12">
        <f>(((3092+3092*0.1)*1.3)*1.05)+600</f>
        <v>5243</v>
      </c>
      <c r="O24" s="12">
        <f>(((3234+3234*0.1)*1.3)*1.05)+600</f>
        <v>5456</v>
      </c>
      <c r="P24" s="12">
        <f>(((3819+3819*0.1)*1.3)*1.05)+600</f>
        <v>6334</v>
      </c>
      <c r="Q24" s="8"/>
      <c r="R24" s="7"/>
    </row>
    <row r="25" spans="1:18" s="2" customFormat="1" ht="18.75" x14ac:dyDescent="0.25">
      <c r="A25" s="18" t="s">
        <v>65</v>
      </c>
      <c r="B25" s="11">
        <v>901</v>
      </c>
      <c r="C25" s="11">
        <v>991</v>
      </c>
      <c r="D25" s="11">
        <v>1082</v>
      </c>
      <c r="E25" s="11">
        <v>1172</v>
      </c>
      <c r="F25" s="11">
        <v>1261</v>
      </c>
      <c r="G25" s="11">
        <v>1352</v>
      </c>
      <c r="H25" s="11">
        <v>1442</v>
      </c>
      <c r="I25" s="11">
        <v>1621</v>
      </c>
      <c r="J25" s="11">
        <v>1802</v>
      </c>
      <c r="K25" s="11">
        <v>1982</v>
      </c>
      <c r="L25" s="11">
        <v>2073</v>
      </c>
      <c r="M25" s="11">
        <f>((2455+2455*0.1)*1.11)*1.05</f>
        <v>3147</v>
      </c>
      <c r="N25" s="11">
        <f>((3278+3278*0.1)*1.11)*1.05</f>
        <v>4203</v>
      </c>
      <c r="O25" s="11">
        <f>((3349+3349*0.1)*1.11)*1.05</f>
        <v>4294</v>
      </c>
      <c r="P25" s="11">
        <f>((4158+4158*0.1)*1.11)*1.05</f>
        <v>5331</v>
      </c>
      <c r="Q25" s="8"/>
      <c r="R25" s="7"/>
    </row>
    <row r="26" spans="1:18" s="2" customFormat="1" ht="18.75" x14ac:dyDescent="0.25">
      <c r="A26" s="19" t="s">
        <v>81</v>
      </c>
      <c r="B26" s="12">
        <v>1501</v>
      </c>
      <c r="C26" s="12">
        <v>1591</v>
      </c>
      <c r="D26" s="12">
        <v>1682</v>
      </c>
      <c r="E26" s="12">
        <v>1772</v>
      </c>
      <c r="F26" s="12">
        <v>1861</v>
      </c>
      <c r="G26" s="12">
        <v>1952</v>
      </c>
      <c r="H26" s="12">
        <v>2042</v>
      </c>
      <c r="I26" s="12">
        <v>2221</v>
      </c>
      <c r="J26" s="12">
        <v>2402</v>
      </c>
      <c r="K26" s="12">
        <v>2582</v>
      </c>
      <c r="L26" s="12">
        <v>2673</v>
      </c>
      <c r="M26" s="12">
        <f>(((2455+2455*0.1)*1.11)*1.05)+600</f>
        <v>3747</v>
      </c>
      <c r="N26" s="12">
        <f>(((3278+3278*0.1)*1.11)*1.05)+600</f>
        <v>4803</v>
      </c>
      <c r="O26" s="12">
        <f>(((3349+3349*0.1)*1.11)*1.05)+600</f>
        <v>4894</v>
      </c>
      <c r="P26" s="12">
        <f>(((4158+4158*0.1)*1.11)*1.05)+600</f>
        <v>5931</v>
      </c>
      <c r="Q26" s="8"/>
      <c r="R26" s="7"/>
    </row>
    <row r="27" spans="1:18" s="2" customFormat="1" ht="18.75" x14ac:dyDescent="0.25">
      <c r="A27" s="30" t="s">
        <v>66</v>
      </c>
      <c r="B27" s="31">
        <v>1158</v>
      </c>
      <c r="C27" s="31">
        <v>1274</v>
      </c>
      <c r="D27" s="31">
        <v>1389</v>
      </c>
      <c r="E27" s="31">
        <v>1505</v>
      </c>
      <c r="F27" s="31">
        <v>1620</v>
      </c>
      <c r="G27" s="31">
        <v>1737</v>
      </c>
      <c r="H27" s="31">
        <v>1852</v>
      </c>
      <c r="I27" s="31">
        <v>2083</v>
      </c>
      <c r="J27" s="31">
        <v>2315</v>
      </c>
      <c r="K27" s="31">
        <v>2547</v>
      </c>
      <c r="L27" s="31">
        <v>2662</v>
      </c>
      <c r="M27" s="31">
        <f>((3154+3154*0.1)*1.3)*1.05</f>
        <v>4736</v>
      </c>
      <c r="N27" s="31">
        <f>((4219+4219*0.1)*1.3)*1.05</f>
        <v>6335</v>
      </c>
      <c r="O27" s="31">
        <f>((4342+4342*0.1)*1.3)*1.05</f>
        <v>6520</v>
      </c>
      <c r="P27" s="31">
        <f>((4870+4870*0.1)*1.3)*1.05</f>
        <v>7312</v>
      </c>
      <c r="Q27" s="8"/>
      <c r="R27" s="7"/>
    </row>
    <row r="28" spans="1:18" s="2" customFormat="1" ht="18.75" hidden="1" x14ac:dyDescent="0.25">
      <c r="A28" s="29"/>
      <c r="B28" s="31">
        <v>1158</v>
      </c>
      <c r="C28" s="31">
        <v>1274</v>
      </c>
      <c r="D28" s="31">
        <v>1389</v>
      </c>
      <c r="E28" s="31">
        <v>1505</v>
      </c>
      <c r="F28" s="31">
        <v>1620</v>
      </c>
      <c r="G28" s="31">
        <v>1737</v>
      </c>
      <c r="H28" s="31">
        <v>1852</v>
      </c>
      <c r="I28" s="31">
        <v>2083</v>
      </c>
      <c r="J28" s="31">
        <v>2315</v>
      </c>
      <c r="K28" s="31">
        <v>2547</v>
      </c>
      <c r="L28" s="31">
        <v>2662</v>
      </c>
      <c r="M28" s="31">
        <f t="shared" ref="M28" si="4">((3154+3154*0.1)*1.3)*1.05</f>
        <v>4736</v>
      </c>
      <c r="N28" s="31">
        <f t="shared" ref="N28" si="5">((4219+4219*0.1)*1.3)*1.05</f>
        <v>6335</v>
      </c>
      <c r="O28" s="31">
        <f t="shared" ref="O28" si="6">((4342+4342*0.1)*1.3)*1.05</f>
        <v>6520</v>
      </c>
      <c r="P28" s="31">
        <f t="shared" ref="P28" si="7">((4870+4870*0.1)*1.3)*1.05</f>
        <v>7312</v>
      </c>
      <c r="Q28" s="8"/>
      <c r="R28" s="7"/>
    </row>
    <row r="29" spans="1:18" s="2" customFormat="1" ht="18.75" x14ac:dyDescent="0.25">
      <c r="A29" s="19" t="s">
        <v>82</v>
      </c>
      <c r="B29" s="12">
        <v>1758</v>
      </c>
      <c r="C29" s="12">
        <v>1874</v>
      </c>
      <c r="D29" s="12">
        <v>1989</v>
      </c>
      <c r="E29" s="12">
        <v>2105</v>
      </c>
      <c r="F29" s="12">
        <v>2220</v>
      </c>
      <c r="G29" s="12">
        <v>2337</v>
      </c>
      <c r="H29" s="12">
        <v>2452</v>
      </c>
      <c r="I29" s="12">
        <v>2683</v>
      </c>
      <c r="J29" s="12">
        <v>2915</v>
      </c>
      <c r="K29" s="12">
        <v>3147</v>
      </c>
      <c r="L29" s="12">
        <v>3262</v>
      </c>
      <c r="M29" s="12">
        <f>(((3154+3154*0.1)*1.3)*1.05)+600</f>
        <v>5336</v>
      </c>
      <c r="N29" s="12">
        <f>(((4219+4219*0.1)*1.3)*1.05)+600</f>
        <v>6935</v>
      </c>
      <c r="O29" s="12">
        <f>(((4342+4342*0.1)*1.3)*1.05)+600</f>
        <v>7120</v>
      </c>
      <c r="P29" s="12">
        <f>(((4870+4870*0.1)*1.3)*1.05)+600</f>
        <v>7912</v>
      </c>
      <c r="Q29" s="8"/>
      <c r="R29" s="7"/>
    </row>
    <row r="30" spans="1:18" s="2" customFormat="1" ht="18" x14ac:dyDescent="0.25">
      <c r="A30" s="18" t="s">
        <v>67</v>
      </c>
      <c r="B30" s="11">
        <v>702</v>
      </c>
      <c r="C30" s="11">
        <v>772</v>
      </c>
      <c r="D30" s="11">
        <v>841</v>
      </c>
      <c r="E30" s="11">
        <v>912</v>
      </c>
      <c r="F30" s="11">
        <v>983</v>
      </c>
      <c r="G30" s="11">
        <v>1052</v>
      </c>
      <c r="H30" s="11">
        <v>1122</v>
      </c>
      <c r="I30" s="11">
        <v>1263</v>
      </c>
      <c r="J30" s="11">
        <v>1403</v>
      </c>
      <c r="K30" s="11">
        <v>1544</v>
      </c>
      <c r="L30" s="11">
        <v>1614</v>
      </c>
      <c r="M30" s="11">
        <f>((1673+1673*0.1)*1.11)*1.05</f>
        <v>2145</v>
      </c>
      <c r="N30" s="11">
        <f>((2438+2438*0.1)*1.11)*1.05</f>
        <v>3126</v>
      </c>
      <c r="O30" s="11">
        <f>((2479+2479*0.1)*1.11)*1.05</f>
        <v>3178</v>
      </c>
      <c r="P30" s="11">
        <f>((2603+2603*0.1)*1.11)*1.05</f>
        <v>3337</v>
      </c>
      <c r="Q30" s="6"/>
      <c r="R30" s="7"/>
    </row>
    <row r="31" spans="1:18" s="2" customFormat="1" ht="18" x14ac:dyDescent="0.25">
      <c r="A31" s="19" t="s">
        <v>68</v>
      </c>
      <c r="B31" s="12">
        <v>903</v>
      </c>
      <c r="C31" s="12">
        <v>993</v>
      </c>
      <c r="D31" s="12">
        <v>1084</v>
      </c>
      <c r="E31" s="12">
        <v>1175</v>
      </c>
      <c r="F31" s="12">
        <v>1265</v>
      </c>
      <c r="G31" s="12">
        <v>1356</v>
      </c>
      <c r="H31" s="12">
        <v>1446</v>
      </c>
      <c r="I31" s="12">
        <v>1628</v>
      </c>
      <c r="J31" s="12">
        <v>1807</v>
      </c>
      <c r="K31" s="12">
        <v>1988</v>
      </c>
      <c r="L31" s="12">
        <v>2079</v>
      </c>
      <c r="M31" s="12">
        <f>((2091+2091*0.1)*1.3)*1.05</f>
        <v>3140</v>
      </c>
      <c r="N31" s="12">
        <f>((3044+3044*0.1)*1.3)*1.05</f>
        <v>4571</v>
      </c>
      <c r="O31" s="12">
        <f>((3156+3156*0.1)*1.3)*1.05</f>
        <v>4739</v>
      </c>
      <c r="P31" s="12">
        <f>((3281+3281*0.1)*1.3)*1.05</f>
        <v>4926</v>
      </c>
      <c r="Q31" s="6"/>
      <c r="R31" s="7"/>
    </row>
    <row r="32" spans="1:18" s="2" customFormat="1" ht="18" hidden="1" x14ac:dyDescent="0.25">
      <c r="A32" s="18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6"/>
      <c r="R32" s="7"/>
    </row>
    <row r="33" spans="1:18" s="2" customFormat="1" ht="18" hidden="1" x14ac:dyDescent="0.25">
      <c r="A33" s="18"/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6"/>
      <c r="R33" s="7"/>
    </row>
    <row r="34" spans="1:18" s="2" customFormat="1" ht="18" hidden="1" x14ac:dyDescent="0.25">
      <c r="A34" s="18"/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6"/>
      <c r="R34" s="7"/>
    </row>
    <row r="35" spans="1:18" s="2" customFormat="1" ht="18" x14ac:dyDescent="0.25">
      <c r="A35" s="18" t="s">
        <v>43</v>
      </c>
      <c r="B35" s="11">
        <v>432</v>
      </c>
      <c r="C35" s="11">
        <v>475</v>
      </c>
      <c r="D35" s="11">
        <v>518</v>
      </c>
      <c r="E35" s="11">
        <v>561</v>
      </c>
      <c r="F35" s="11">
        <v>604</v>
      </c>
      <c r="G35" s="11">
        <v>647</v>
      </c>
      <c r="H35" s="11">
        <v>690</v>
      </c>
      <c r="I35" s="11">
        <v>776</v>
      </c>
      <c r="J35" s="11">
        <v>862</v>
      </c>
      <c r="K35" s="11">
        <v>949</v>
      </c>
      <c r="L35" s="11">
        <v>992</v>
      </c>
      <c r="M35" s="11">
        <v>1078</v>
      </c>
      <c r="N35" s="11">
        <v>1294</v>
      </c>
      <c r="O35" s="11">
        <v>1509</v>
      </c>
      <c r="P35" s="11">
        <v>1725</v>
      </c>
      <c r="Q35" s="6"/>
      <c r="R35" s="7"/>
    </row>
    <row r="36" spans="1:18" s="2" customFormat="1" ht="18" hidden="1" x14ac:dyDescent="0.25">
      <c r="A36" s="18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6"/>
      <c r="R36" s="7"/>
    </row>
    <row r="37" spans="1:18" s="2" customFormat="1" ht="18" x14ac:dyDescent="0.25">
      <c r="A37" s="19" t="s">
        <v>18</v>
      </c>
      <c r="B37" s="12">
        <v>1040</v>
      </c>
      <c r="C37" s="12">
        <v>1145</v>
      </c>
      <c r="D37" s="12">
        <v>1250</v>
      </c>
      <c r="E37" s="12">
        <v>1353</v>
      </c>
      <c r="F37" s="12">
        <v>1457</v>
      </c>
      <c r="G37" s="12">
        <v>1561</v>
      </c>
      <c r="H37" s="12">
        <v>1665</v>
      </c>
      <c r="I37" s="12">
        <v>1873</v>
      </c>
      <c r="J37" s="12">
        <v>2081</v>
      </c>
      <c r="K37" s="12">
        <v>2290</v>
      </c>
      <c r="L37" s="12">
        <v>2394</v>
      </c>
      <c r="M37" s="12">
        <v>2603</v>
      </c>
      <c r="N37" s="12">
        <v>3123</v>
      </c>
      <c r="O37" s="12">
        <v>3644</v>
      </c>
      <c r="P37" s="12">
        <v>4163</v>
      </c>
      <c r="Q37" s="6"/>
      <c r="R37" s="7"/>
    </row>
    <row r="38" spans="1:18" s="2" customFormat="1" ht="18" x14ac:dyDescent="0.25">
      <c r="A38" s="18" t="s">
        <v>19</v>
      </c>
      <c r="B38" s="11">
        <v>1225</v>
      </c>
      <c r="C38" s="11">
        <v>1349</v>
      </c>
      <c r="D38" s="11">
        <v>1473</v>
      </c>
      <c r="E38" s="11">
        <v>1596</v>
      </c>
      <c r="F38" s="11">
        <v>1718</v>
      </c>
      <c r="G38" s="11">
        <v>1842</v>
      </c>
      <c r="H38" s="11">
        <v>1964</v>
      </c>
      <c r="I38" s="11">
        <v>2208</v>
      </c>
      <c r="J38" s="11">
        <v>2455</v>
      </c>
      <c r="K38" s="11">
        <v>2701</v>
      </c>
      <c r="L38" s="11">
        <v>2822</v>
      </c>
      <c r="M38" s="11">
        <v>3069</v>
      </c>
      <c r="N38" s="11">
        <v>3681</v>
      </c>
      <c r="O38" s="11">
        <v>4296</v>
      </c>
      <c r="P38" s="11">
        <v>4909</v>
      </c>
      <c r="Q38" s="6"/>
      <c r="R38" s="7"/>
    </row>
    <row r="39" spans="1:18" s="2" customFormat="1" ht="18" hidden="1" x14ac:dyDescent="0.25">
      <c r="A39" s="18"/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6"/>
      <c r="R39" s="7"/>
    </row>
    <row r="40" spans="1:18" s="2" customFormat="1" ht="18" hidden="1" x14ac:dyDescent="0.25">
      <c r="A40" s="18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6"/>
      <c r="R40" s="7"/>
    </row>
    <row r="41" spans="1:18" s="2" customFormat="1" ht="18" x14ac:dyDescent="0.25">
      <c r="A41" s="30" t="s">
        <v>69</v>
      </c>
      <c r="B41" s="32">
        <v>249</v>
      </c>
      <c r="C41" s="32">
        <v>286</v>
      </c>
      <c r="D41" s="32">
        <v>322</v>
      </c>
      <c r="E41" s="32">
        <v>322</v>
      </c>
      <c r="F41" s="32">
        <v>376</v>
      </c>
      <c r="G41" s="32">
        <v>479</v>
      </c>
      <c r="H41" s="32">
        <v>473</v>
      </c>
      <c r="I41" s="32">
        <v>559</v>
      </c>
      <c r="J41" s="32">
        <v>738</v>
      </c>
      <c r="K41" s="32">
        <v>819</v>
      </c>
      <c r="L41" s="32">
        <v>897</v>
      </c>
      <c r="M41" s="32">
        <v>1070</v>
      </c>
      <c r="N41" s="32">
        <v>1525</v>
      </c>
      <c r="O41" s="32">
        <v>1560</v>
      </c>
      <c r="P41" s="32">
        <v>1661</v>
      </c>
      <c r="Q41" s="6"/>
      <c r="R41" s="7"/>
    </row>
    <row r="42" spans="1:18" s="2" customFormat="1" ht="18.75" thickBot="1" x14ac:dyDescent="0.3">
      <c r="A42" s="19" t="s">
        <v>70</v>
      </c>
      <c r="B42" s="20">
        <v>0</v>
      </c>
      <c r="C42" s="20">
        <v>324</v>
      </c>
      <c r="D42" s="20">
        <v>379</v>
      </c>
      <c r="E42" s="20">
        <v>379</v>
      </c>
      <c r="F42" s="20">
        <v>433</v>
      </c>
      <c r="G42" s="20">
        <v>487</v>
      </c>
      <c r="H42" s="20">
        <v>557</v>
      </c>
      <c r="I42" s="20">
        <v>679</v>
      </c>
      <c r="J42" s="20">
        <v>816</v>
      </c>
      <c r="K42" s="20">
        <v>919</v>
      </c>
      <c r="L42" s="20">
        <v>1024</v>
      </c>
      <c r="M42" s="20">
        <v>1182</v>
      </c>
      <c r="N42" s="20">
        <v>1649</v>
      </c>
      <c r="O42" s="20">
        <v>1731</v>
      </c>
      <c r="P42" s="20">
        <v>1768</v>
      </c>
      <c r="Q42" s="6"/>
      <c r="R42" s="7"/>
    </row>
    <row r="43" spans="1:18" s="2" customFormat="1" ht="18.75" hidden="1" thickBot="1" x14ac:dyDescent="0.3">
      <c r="A43" s="18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6"/>
      <c r="R43" s="7"/>
    </row>
    <row r="44" spans="1:18" s="2" customFormat="1" ht="18.75" hidden="1" thickBot="1" x14ac:dyDescent="0.3">
      <c r="A44" s="1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6"/>
      <c r="R44" s="7"/>
    </row>
    <row r="45" spans="1:18" s="2" customFormat="1" ht="18.75" hidden="1" thickBot="1" x14ac:dyDescent="0.3">
      <c r="A45" s="1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6"/>
      <c r="R45" s="7"/>
    </row>
    <row r="46" spans="1:18" s="2" customFormat="1" ht="18.75" hidden="1" thickBot="1" x14ac:dyDescent="0.3">
      <c r="A46" s="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6"/>
      <c r="R46" s="7"/>
    </row>
    <row r="47" spans="1:18" s="2" customFormat="1" ht="18.75" hidden="1" thickBot="1" x14ac:dyDescent="0.3">
      <c r="A47" s="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6"/>
      <c r="R47" s="7"/>
    </row>
    <row r="48" spans="1:18" s="2" customFormat="1" ht="18.75" hidden="1" thickBot="1" x14ac:dyDescent="0.3">
      <c r="A48" s="18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6"/>
      <c r="R48" s="7"/>
    </row>
    <row r="49" spans="1:18" s="2" customFormat="1" ht="18.75" hidden="1" thickBot="1" x14ac:dyDescent="0.3">
      <c r="A49" s="18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6"/>
      <c r="R49" s="7"/>
    </row>
    <row r="50" spans="1:18" s="2" customFormat="1" ht="18.75" hidden="1" thickBo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6"/>
      <c r="R50" s="7"/>
    </row>
    <row r="51" spans="1:18" s="2" customFormat="1" ht="18" x14ac:dyDescent="0.25">
      <c r="A51" s="36" t="s">
        <v>71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8"/>
      <c r="Q51" s="6"/>
      <c r="R51" s="7"/>
    </row>
    <row r="52" spans="1:18" s="2" customFormat="1" ht="18" customHeight="1" thickBot="1" x14ac:dyDescent="0.3">
      <c r="A52" s="24" t="s">
        <v>72</v>
      </c>
      <c r="B52" s="25" t="s">
        <v>28</v>
      </c>
      <c r="C52" s="25" t="s">
        <v>29</v>
      </c>
      <c r="D52" s="25" t="s">
        <v>30</v>
      </c>
      <c r="E52" s="25" t="s">
        <v>31</v>
      </c>
      <c r="F52" s="25" t="s">
        <v>32</v>
      </c>
      <c r="G52" s="25" t="s">
        <v>33</v>
      </c>
      <c r="H52" s="25" t="s">
        <v>34</v>
      </c>
      <c r="I52" s="25" t="s">
        <v>35</v>
      </c>
      <c r="J52" s="25" t="s">
        <v>36</v>
      </c>
      <c r="K52" s="25" t="s">
        <v>55</v>
      </c>
      <c r="L52" s="25" t="s">
        <v>37</v>
      </c>
      <c r="M52" s="25" t="s">
        <v>38</v>
      </c>
      <c r="N52" s="25" t="s">
        <v>39</v>
      </c>
      <c r="O52" s="25" t="s">
        <v>40</v>
      </c>
      <c r="P52" s="26" t="s">
        <v>41</v>
      </c>
      <c r="Q52" s="6"/>
      <c r="R52" s="7"/>
    </row>
    <row r="53" spans="1:18" s="2" customFormat="1" ht="18.75" hidden="1" customHeight="1" x14ac:dyDescent="0.25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6"/>
      <c r="R53" s="7"/>
    </row>
    <row r="54" spans="1:18" s="2" customFormat="1" ht="18.75" x14ac:dyDescent="0.25">
      <c r="A54" s="18" t="s">
        <v>53</v>
      </c>
      <c r="B54" s="11">
        <v>1797</v>
      </c>
      <c r="C54" s="11">
        <v>1861</v>
      </c>
      <c r="D54" s="11">
        <v>1925</v>
      </c>
      <c r="E54" s="11">
        <v>2119</v>
      </c>
      <c r="F54" s="11">
        <v>2181</v>
      </c>
      <c r="G54" s="11">
        <v>2375</v>
      </c>
      <c r="H54" s="11">
        <v>2439</v>
      </c>
      <c r="I54" s="11">
        <v>2759</v>
      </c>
      <c r="J54" s="11">
        <v>2951</v>
      </c>
      <c r="K54" s="11">
        <v>3209</v>
      </c>
      <c r="L54" s="11">
        <v>3401</v>
      </c>
      <c r="M54" s="11">
        <f>((2784+2784*0.1)*1.11)*1.1</f>
        <v>3739</v>
      </c>
      <c r="N54" s="11">
        <f>((3396+3396*0.1)*1.11)*1.1</f>
        <v>4561</v>
      </c>
      <c r="O54" s="11">
        <f>((3895+3895*0.1)*1.11)*1.1</f>
        <v>5231</v>
      </c>
      <c r="P54" s="11">
        <f>((4298+4298*0.1)*1.11)*1.1</f>
        <v>5773</v>
      </c>
      <c r="Q54" s="8"/>
      <c r="R54" s="7"/>
    </row>
    <row r="55" spans="1:18" s="2" customFormat="1" ht="18.75" x14ac:dyDescent="0.25">
      <c r="A55" s="19" t="s">
        <v>20</v>
      </c>
      <c r="B55" s="12">
        <v>2011</v>
      </c>
      <c r="C55" s="12">
        <v>2082</v>
      </c>
      <c r="D55" s="12">
        <v>2154</v>
      </c>
      <c r="E55" s="12">
        <v>2369</v>
      </c>
      <c r="F55" s="12">
        <v>2441</v>
      </c>
      <c r="G55" s="12">
        <v>2657</v>
      </c>
      <c r="H55" s="12">
        <v>2728</v>
      </c>
      <c r="I55" s="12">
        <v>3088</v>
      </c>
      <c r="J55" s="12">
        <v>3302</v>
      </c>
      <c r="K55" s="12">
        <v>3589</v>
      </c>
      <c r="L55" s="12">
        <v>3805</v>
      </c>
      <c r="M55" s="12">
        <f>((3204+3204*0.1)*1.11)*1.1</f>
        <v>4303</v>
      </c>
      <c r="N55" s="12">
        <f>((3823+3823*0.1)*1.11)*1.1</f>
        <v>5135</v>
      </c>
      <c r="O55" s="12">
        <f>((4943+4943*0.1)*1.11)*1.1</f>
        <v>6639</v>
      </c>
      <c r="P55" s="12">
        <f>((5589+5589*0.1)*1.11)*1.1</f>
        <v>7507</v>
      </c>
      <c r="Q55" s="8"/>
      <c r="R55" s="7"/>
    </row>
    <row r="56" spans="1:18" s="2" customFormat="1" ht="18.75" hidden="1" x14ac:dyDescent="0.25">
      <c r="A56" s="18"/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8"/>
      <c r="R56" s="7"/>
    </row>
    <row r="57" spans="1:18" s="2" customFormat="1" ht="18.75" x14ac:dyDescent="0.25">
      <c r="A57" s="18" t="s">
        <v>51</v>
      </c>
      <c r="B57" s="11">
        <v>1685</v>
      </c>
      <c r="C57" s="11">
        <v>1747</v>
      </c>
      <c r="D57" s="11">
        <v>1808</v>
      </c>
      <c r="E57" s="11">
        <v>1989</v>
      </c>
      <c r="F57" s="11">
        <v>2049</v>
      </c>
      <c r="G57" s="11">
        <v>2230</v>
      </c>
      <c r="H57" s="11">
        <v>2289</v>
      </c>
      <c r="I57" s="11">
        <v>2591</v>
      </c>
      <c r="J57" s="11">
        <v>2772</v>
      </c>
      <c r="K57" s="11">
        <v>3013</v>
      </c>
      <c r="L57" s="11">
        <v>3194</v>
      </c>
      <c r="M57" s="11">
        <f>((2426+2426*0.1)*1.11)*1.1</f>
        <v>3258</v>
      </c>
      <c r="N57" s="11">
        <f>((3138+3138*0.1)*1.11)*1.1</f>
        <v>4215</v>
      </c>
      <c r="O57" s="11">
        <f>((3446+3446*0.1)*1.11)*1.1</f>
        <v>4628</v>
      </c>
      <c r="P57" s="11">
        <f>((3926+3926*0.1)*1.11)*1.1</f>
        <v>5273</v>
      </c>
      <c r="Q57" s="8"/>
      <c r="R57" s="7"/>
    </row>
    <row r="58" spans="1:18" s="2" customFormat="1" ht="18.75" x14ac:dyDescent="0.25">
      <c r="A58" s="19" t="s">
        <v>21</v>
      </c>
      <c r="B58" s="12">
        <v>1879</v>
      </c>
      <c r="C58" s="12">
        <v>1947</v>
      </c>
      <c r="D58" s="12">
        <v>2015</v>
      </c>
      <c r="E58" s="12">
        <v>2217</v>
      </c>
      <c r="F58" s="12">
        <v>2284</v>
      </c>
      <c r="G58" s="12">
        <v>2485</v>
      </c>
      <c r="H58" s="12">
        <v>2552</v>
      </c>
      <c r="I58" s="12">
        <v>2888</v>
      </c>
      <c r="J58" s="12">
        <v>3089</v>
      </c>
      <c r="K58" s="12">
        <v>3358</v>
      </c>
      <c r="L58" s="12">
        <v>3560</v>
      </c>
      <c r="M58" s="12">
        <f>((2856+2856*0.1)*1.11)*1.1</f>
        <v>3836</v>
      </c>
      <c r="N58" s="12">
        <f>((3730+3730*0.1)*1.11)*1.1</f>
        <v>5010</v>
      </c>
      <c r="O58" s="12">
        <f>((4135+4135*0.1)*1.11)*1.1</f>
        <v>5554</v>
      </c>
      <c r="P58" s="12">
        <f>((4807+4807*0.1)*1.11)*1.1</f>
        <v>6456</v>
      </c>
      <c r="Q58" s="8"/>
      <c r="R58" s="7"/>
    </row>
    <row r="59" spans="1:18" s="2" customFormat="1" ht="18.75" hidden="1" x14ac:dyDescent="0.25">
      <c r="A59" s="18"/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8"/>
      <c r="R59" s="7"/>
    </row>
    <row r="60" spans="1:18" s="2" customFormat="1" ht="18.75" x14ac:dyDescent="0.25">
      <c r="A60" s="18" t="s">
        <v>52</v>
      </c>
      <c r="B60" s="11">
        <v>956</v>
      </c>
      <c r="C60" s="11">
        <v>992</v>
      </c>
      <c r="D60" s="11">
        <v>1029</v>
      </c>
      <c r="E60" s="11">
        <v>1131</v>
      </c>
      <c r="F60" s="11">
        <v>1165</v>
      </c>
      <c r="G60" s="11">
        <v>1267</v>
      </c>
      <c r="H60" s="11">
        <v>1301</v>
      </c>
      <c r="I60" s="11">
        <v>1473</v>
      </c>
      <c r="J60" s="11">
        <v>1575</v>
      </c>
      <c r="K60" s="11">
        <v>1713</v>
      </c>
      <c r="L60" s="11">
        <v>1816</v>
      </c>
      <c r="M60" s="11">
        <v>2683</v>
      </c>
      <c r="N60" s="11">
        <f>((2285+2285*0.1)*1.11)*1.1</f>
        <v>3069</v>
      </c>
      <c r="O60" s="11">
        <f>((2419+2419*0.1)*1.11)*1.1</f>
        <v>3249</v>
      </c>
      <c r="P60" s="11">
        <f>((2954+2954*0.1)*1.11)*1.1</f>
        <v>3968</v>
      </c>
      <c r="Q60" s="8"/>
      <c r="R60" s="7"/>
    </row>
    <row r="61" spans="1:18" s="2" customFormat="1" ht="18.75" x14ac:dyDescent="0.25">
      <c r="A61" s="19" t="s">
        <v>22</v>
      </c>
      <c r="B61" s="12">
        <v>1093</v>
      </c>
      <c r="C61" s="12">
        <v>1134</v>
      </c>
      <c r="D61" s="12">
        <v>1175</v>
      </c>
      <c r="E61" s="12">
        <v>1291</v>
      </c>
      <c r="F61" s="12">
        <v>1331</v>
      </c>
      <c r="G61" s="12">
        <v>1448</v>
      </c>
      <c r="H61" s="12">
        <v>1487</v>
      </c>
      <c r="I61" s="12">
        <v>1683</v>
      </c>
      <c r="J61" s="12">
        <v>1800</v>
      </c>
      <c r="K61" s="12">
        <v>1957</v>
      </c>
      <c r="L61" s="12">
        <v>2075</v>
      </c>
      <c r="M61" s="12">
        <f>(((2000+2000*0.1)*1.11)*1.1)*1.1</f>
        <v>2955</v>
      </c>
      <c r="N61" s="12">
        <f>((2563+2563*0.1)*1.11)*1.1</f>
        <v>3442</v>
      </c>
      <c r="O61" s="12">
        <f>((2668+2668*0.1)*1.11)*1.1</f>
        <v>3583</v>
      </c>
      <c r="P61" s="12">
        <f>((3075+3075*0.1)*1.11)*1.1</f>
        <v>4130</v>
      </c>
      <c r="Q61" s="8"/>
      <c r="R61" s="7"/>
    </row>
    <row r="62" spans="1:18" s="2" customFormat="1" ht="18.75" hidden="1" x14ac:dyDescent="0.25">
      <c r="A62" s="18"/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8"/>
      <c r="R62" s="7"/>
    </row>
    <row r="63" spans="1:18" s="2" customFormat="1" ht="18.75" x14ac:dyDescent="0.25">
      <c r="A63" s="18" t="s">
        <v>50</v>
      </c>
      <c r="B63" s="11">
        <v>942</v>
      </c>
      <c r="C63" s="11">
        <v>975</v>
      </c>
      <c r="D63" s="11">
        <v>1008</v>
      </c>
      <c r="E63" s="11">
        <v>1109</v>
      </c>
      <c r="F63" s="11">
        <v>1142</v>
      </c>
      <c r="G63" s="11">
        <v>1243</v>
      </c>
      <c r="H63" s="11">
        <v>1276</v>
      </c>
      <c r="I63" s="11">
        <v>1444</v>
      </c>
      <c r="J63" s="11">
        <v>1544</v>
      </c>
      <c r="K63" s="11">
        <v>1679</v>
      </c>
      <c r="L63" s="11">
        <v>1780</v>
      </c>
      <c r="M63" s="11">
        <f>((1513+1513*0.1)*1.11)*1.1</f>
        <v>2032</v>
      </c>
      <c r="N63" s="11">
        <f>((1932+1932*0.1)*1.11)*1.1</f>
        <v>2595</v>
      </c>
      <c r="O63" s="11">
        <f>((2177+2177*0.1)*1.11)*1.1</f>
        <v>2924</v>
      </c>
      <c r="P63" s="11">
        <f>((2479+2479*0.1)*1.11)*1.1</f>
        <v>3330</v>
      </c>
      <c r="Q63" s="8"/>
      <c r="R63" s="7"/>
    </row>
    <row r="64" spans="1:18" s="2" customFormat="1" ht="18.75" x14ac:dyDescent="0.25">
      <c r="A64" s="19" t="s">
        <v>23</v>
      </c>
      <c r="B64" s="12">
        <v>1079</v>
      </c>
      <c r="C64" s="12">
        <v>1117</v>
      </c>
      <c r="D64" s="12">
        <v>1154</v>
      </c>
      <c r="E64" s="12">
        <v>1269</v>
      </c>
      <c r="F64" s="12">
        <v>1308</v>
      </c>
      <c r="G64" s="12">
        <v>1423</v>
      </c>
      <c r="H64" s="12">
        <v>1462</v>
      </c>
      <c r="I64" s="12">
        <v>1654</v>
      </c>
      <c r="J64" s="12">
        <v>1769</v>
      </c>
      <c r="K64" s="12">
        <v>1923</v>
      </c>
      <c r="L64" s="12">
        <v>2039</v>
      </c>
      <c r="M64" s="12">
        <f>((1732+1732*0.1)*1.11)*1.1</f>
        <v>2326</v>
      </c>
      <c r="N64" s="12">
        <f>((2204+2204*0.1)*1.11)*1.1</f>
        <v>2960</v>
      </c>
      <c r="O64" s="12">
        <f>((2716+2716*0.1)*1.11)*1.1</f>
        <v>3648</v>
      </c>
      <c r="P64" s="12">
        <f>((2954+2954*0.1)*1.11)*1.1</f>
        <v>3968</v>
      </c>
      <c r="Q64" s="8"/>
      <c r="R64" s="7"/>
    </row>
    <row r="65" spans="1:18" s="2" customFormat="1" ht="18.75" hidden="1" x14ac:dyDescent="0.25">
      <c r="A65" s="18"/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8"/>
      <c r="R65" s="7"/>
    </row>
    <row r="66" spans="1:18" s="2" customFormat="1" ht="18.75" x14ac:dyDescent="0.25">
      <c r="A66" s="18" t="s">
        <v>49</v>
      </c>
      <c r="B66" s="11">
        <v>718</v>
      </c>
      <c r="C66" s="11">
        <v>744</v>
      </c>
      <c r="D66" s="11">
        <v>769</v>
      </c>
      <c r="E66" s="11">
        <v>846</v>
      </c>
      <c r="F66" s="11">
        <v>872</v>
      </c>
      <c r="G66" s="11">
        <v>948</v>
      </c>
      <c r="H66" s="11">
        <v>975</v>
      </c>
      <c r="I66" s="11">
        <v>1102</v>
      </c>
      <c r="J66" s="11">
        <v>1179</v>
      </c>
      <c r="K66" s="11">
        <v>1283</v>
      </c>
      <c r="L66" s="11">
        <v>1359</v>
      </c>
      <c r="M66" s="11">
        <f>((1200+1200*0.1)*1.11)*1.1</f>
        <v>1612</v>
      </c>
      <c r="N66" s="11">
        <f>((1411+1411*0.1)*1.11)*1.1</f>
        <v>1895</v>
      </c>
      <c r="O66" s="11">
        <f>((1441+1441*0.1)*1.11)*1.1</f>
        <v>1935</v>
      </c>
      <c r="P66" s="11">
        <f>((1619+1619*0.1)*1.11)*1.1</f>
        <v>2174</v>
      </c>
      <c r="Q66" s="8"/>
      <c r="R66" s="7"/>
    </row>
    <row r="67" spans="1:18" s="2" customFormat="1" ht="18.75" x14ac:dyDescent="0.25">
      <c r="A67" s="19" t="s">
        <v>24</v>
      </c>
      <c r="B67" s="12">
        <v>785</v>
      </c>
      <c r="C67" s="12">
        <v>815</v>
      </c>
      <c r="D67" s="12">
        <v>845</v>
      </c>
      <c r="E67" s="12">
        <v>930</v>
      </c>
      <c r="F67" s="12">
        <v>957</v>
      </c>
      <c r="G67" s="12">
        <v>1042</v>
      </c>
      <c r="H67" s="12">
        <v>1069</v>
      </c>
      <c r="I67" s="12">
        <v>1210</v>
      </c>
      <c r="J67" s="12">
        <v>1295</v>
      </c>
      <c r="K67" s="12">
        <v>1408</v>
      </c>
      <c r="L67" s="12">
        <v>1492</v>
      </c>
      <c r="M67" s="12">
        <f>(((1237+1237*0.1)*1.11)*1.08)*1.1</f>
        <v>1794</v>
      </c>
      <c r="N67" s="12">
        <f>(((1474+1474*0.1)*1.11)*1.08)*1.1</f>
        <v>2138</v>
      </c>
      <c r="O67" s="12">
        <f>(((1728+1728*0.1)*1.11)*1.08)*1.1</f>
        <v>2507</v>
      </c>
      <c r="P67" s="12">
        <f>(((1936+1936*0.1)*1.11)*1.08)*1.1</f>
        <v>2808</v>
      </c>
      <c r="Q67" s="8"/>
      <c r="R67" s="7"/>
    </row>
    <row r="68" spans="1:18" s="2" customFormat="1" ht="18.75" hidden="1" x14ac:dyDescent="0.25">
      <c r="A68" s="18"/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8"/>
      <c r="R68" s="7"/>
    </row>
    <row r="69" spans="1:18" s="2" customFormat="1" ht="18.75" x14ac:dyDescent="0.25">
      <c r="A69" s="18" t="s">
        <v>25</v>
      </c>
      <c r="B69" s="11">
        <v>701</v>
      </c>
      <c r="C69" s="11">
        <v>726</v>
      </c>
      <c r="D69" s="11">
        <v>751</v>
      </c>
      <c r="E69" s="11">
        <v>826</v>
      </c>
      <c r="F69" s="11">
        <v>851</v>
      </c>
      <c r="G69" s="11">
        <v>926</v>
      </c>
      <c r="H69" s="11">
        <v>952</v>
      </c>
      <c r="I69" s="11">
        <v>1077</v>
      </c>
      <c r="J69" s="11">
        <v>1152</v>
      </c>
      <c r="K69" s="11">
        <v>1252</v>
      </c>
      <c r="L69" s="11">
        <v>1328</v>
      </c>
      <c r="M69" s="11">
        <v>1428</v>
      </c>
      <c r="N69" s="11">
        <v>1652</v>
      </c>
      <c r="O69" s="11">
        <v>1928</v>
      </c>
      <c r="P69" s="11">
        <v>2153</v>
      </c>
      <c r="Q69" s="8"/>
      <c r="R69" s="7"/>
    </row>
    <row r="70" spans="1:18" s="2" customFormat="1" ht="18.75" x14ac:dyDescent="0.25">
      <c r="A70" s="19" t="s">
        <v>26</v>
      </c>
      <c r="B70" s="12">
        <v>780</v>
      </c>
      <c r="C70" s="12">
        <v>807</v>
      </c>
      <c r="D70" s="12">
        <v>835</v>
      </c>
      <c r="E70" s="12">
        <v>919</v>
      </c>
      <c r="F70" s="12">
        <v>946</v>
      </c>
      <c r="G70" s="12">
        <v>1031</v>
      </c>
      <c r="H70" s="12">
        <v>1057</v>
      </c>
      <c r="I70" s="12">
        <v>1197</v>
      </c>
      <c r="J70" s="12">
        <v>1280</v>
      </c>
      <c r="K70" s="12">
        <v>1392</v>
      </c>
      <c r="L70" s="12">
        <v>1475</v>
      </c>
      <c r="M70" s="12">
        <v>1587</v>
      </c>
      <c r="N70" s="12">
        <v>1838</v>
      </c>
      <c r="O70" s="12">
        <v>2144</v>
      </c>
      <c r="P70" s="12">
        <v>2395</v>
      </c>
      <c r="Q70" s="8"/>
      <c r="R70" s="7"/>
    </row>
    <row r="71" spans="1:18" s="2" customFormat="1" ht="18.75" hidden="1" x14ac:dyDescent="0.25">
      <c r="A71" s="18"/>
      <c r="B71" s="11"/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8"/>
      <c r="R71" s="7"/>
    </row>
    <row r="72" spans="1:18" s="2" customFormat="1" ht="18.75" x14ac:dyDescent="0.25">
      <c r="A72" s="18" t="s">
        <v>73</v>
      </c>
      <c r="B72" s="11">
        <v>1809</v>
      </c>
      <c r="C72" s="11">
        <v>1873</v>
      </c>
      <c r="D72" s="11">
        <v>1937</v>
      </c>
      <c r="E72" s="11">
        <v>2130</v>
      </c>
      <c r="F72" s="11">
        <v>2196</v>
      </c>
      <c r="G72" s="11">
        <v>2390</v>
      </c>
      <c r="H72" s="11">
        <v>2454</v>
      </c>
      <c r="I72" s="11">
        <v>2776</v>
      </c>
      <c r="J72" s="11">
        <v>2969</v>
      </c>
      <c r="K72" s="11">
        <v>3229</v>
      </c>
      <c r="L72" s="11">
        <f>((3009+3009*0.1)*1.11)*1.05</f>
        <v>3858</v>
      </c>
      <c r="M72" s="11">
        <f>((4051+4051*0.1)*1.11)*1.05</f>
        <v>5194</v>
      </c>
      <c r="N72" s="11">
        <f>((4546+4546*0.1)*1.11)*1.05</f>
        <v>5828</v>
      </c>
      <c r="O72" s="11">
        <f>((4804+4804*0.1)*1.11)*1.05</f>
        <v>6159</v>
      </c>
      <c r="P72" s="11">
        <f>((5706+5706*0.1)*1.11)*1.05</f>
        <v>7315</v>
      </c>
      <c r="Q72" s="8"/>
      <c r="R72" s="7"/>
    </row>
    <row r="73" spans="1:18" s="2" customFormat="1" ht="18.75" x14ac:dyDescent="0.25">
      <c r="A73" s="19" t="s">
        <v>83</v>
      </c>
      <c r="B73" s="12">
        <v>2609</v>
      </c>
      <c r="C73" s="12">
        <v>2673</v>
      </c>
      <c r="D73" s="12">
        <v>2737</v>
      </c>
      <c r="E73" s="12">
        <v>2930</v>
      </c>
      <c r="F73" s="12">
        <v>2996</v>
      </c>
      <c r="G73" s="12">
        <v>3190</v>
      </c>
      <c r="H73" s="12">
        <v>3254</v>
      </c>
      <c r="I73" s="12">
        <v>3576</v>
      </c>
      <c r="J73" s="12">
        <v>3769</v>
      </c>
      <c r="K73" s="12">
        <v>4029</v>
      </c>
      <c r="L73" s="12">
        <f>(((3009+3009*0.1)*1.11)*1.05)+800</f>
        <v>4658</v>
      </c>
      <c r="M73" s="12">
        <f>(((4051+4051*0.1)*1.11)*1.05)+800</f>
        <v>5994</v>
      </c>
      <c r="N73" s="12">
        <f>(((4546+4546*0.1)*1.11)*1.05)+800</f>
        <v>6628</v>
      </c>
      <c r="O73" s="12">
        <f>(((4804+4804*0.1)*1.11)*1.05)+800</f>
        <v>6959</v>
      </c>
      <c r="P73" s="12">
        <f>(((5706+5706*0.1)*1.11)*1.05)+800</f>
        <v>8115</v>
      </c>
      <c r="Q73" s="8"/>
      <c r="R73" s="7"/>
    </row>
    <row r="74" spans="1:18" s="2" customFormat="1" ht="18.75" x14ac:dyDescent="0.25">
      <c r="A74" s="18" t="s">
        <v>74</v>
      </c>
      <c r="B74" s="11">
        <v>1924</v>
      </c>
      <c r="C74" s="11">
        <v>1993</v>
      </c>
      <c r="D74" s="11">
        <v>2062</v>
      </c>
      <c r="E74" s="11">
        <v>2267</v>
      </c>
      <c r="F74" s="11">
        <v>2335</v>
      </c>
      <c r="G74" s="11">
        <v>2542</v>
      </c>
      <c r="H74" s="11">
        <v>2610</v>
      </c>
      <c r="I74" s="11">
        <v>2955</v>
      </c>
      <c r="J74" s="11">
        <v>3161</v>
      </c>
      <c r="K74" s="11">
        <v>3436</v>
      </c>
      <c r="L74" s="11">
        <f>((3390+3390*0.1)*1.11)*1.05</f>
        <v>4346</v>
      </c>
      <c r="M74" s="11">
        <f>((4539+4539*0.1)*1.11)*1.05</f>
        <v>5819</v>
      </c>
      <c r="N74" s="11">
        <f>((5270+5270*0.1)*1.11)*1.05</f>
        <v>6756</v>
      </c>
      <c r="O74" s="11">
        <f>((5712+5712*0.1)*1.11)*1.05</f>
        <v>7323</v>
      </c>
      <c r="P74" s="11">
        <f>((6629+6629*0.1)*1.11)*1.05</f>
        <v>8499</v>
      </c>
      <c r="Q74" s="8"/>
      <c r="R74" s="7"/>
    </row>
    <row r="75" spans="1:18" s="2" customFormat="1" ht="18.75" hidden="1" x14ac:dyDescent="0.25">
      <c r="A75" s="18"/>
      <c r="B75" s="11">
        <v>1924</v>
      </c>
      <c r="C75" s="11">
        <v>1993</v>
      </c>
      <c r="D75" s="11">
        <v>2062</v>
      </c>
      <c r="E75" s="11">
        <v>2267</v>
      </c>
      <c r="F75" s="11">
        <v>2335</v>
      </c>
      <c r="G75" s="11">
        <v>2542</v>
      </c>
      <c r="H75" s="11">
        <v>2610</v>
      </c>
      <c r="I75" s="11">
        <v>2955</v>
      </c>
      <c r="J75" s="11">
        <v>3161</v>
      </c>
      <c r="K75" s="11">
        <v>3436</v>
      </c>
      <c r="L75" s="11">
        <f t="shared" ref="L75" si="8">((3390+3390*0.1)*1.11)*1.05</f>
        <v>4346</v>
      </c>
      <c r="M75" s="11">
        <f t="shared" ref="M75" si="9">((4539+4539*0.1)*1.11)*1.05</f>
        <v>5819</v>
      </c>
      <c r="N75" s="11">
        <f t="shared" ref="N75" si="10">((5270+5270*0.1)*1.11)*1.05</f>
        <v>6756</v>
      </c>
      <c r="O75" s="11">
        <f t="shared" ref="O75" si="11">((5712+5712*0.1)*1.11)*1.05</f>
        <v>7323</v>
      </c>
      <c r="P75" s="11">
        <f t="shared" ref="P75" si="12">((6629+6629*0.1)*1.11)*1.05</f>
        <v>8499</v>
      </c>
      <c r="Q75" s="8"/>
      <c r="R75" s="7"/>
    </row>
    <row r="76" spans="1:18" s="2" customFormat="1" ht="18.75" x14ac:dyDescent="0.25">
      <c r="A76" s="19" t="s">
        <v>84</v>
      </c>
      <c r="B76" s="12">
        <v>2724</v>
      </c>
      <c r="C76" s="12">
        <v>2793</v>
      </c>
      <c r="D76" s="12">
        <v>2862</v>
      </c>
      <c r="E76" s="12">
        <v>3067</v>
      </c>
      <c r="F76" s="12">
        <v>3135</v>
      </c>
      <c r="G76" s="12">
        <v>3342</v>
      </c>
      <c r="H76" s="12">
        <v>3410</v>
      </c>
      <c r="I76" s="12">
        <v>3755</v>
      </c>
      <c r="J76" s="12">
        <v>3961</v>
      </c>
      <c r="K76" s="12">
        <v>4236</v>
      </c>
      <c r="L76" s="12">
        <f>(((3390+3390*0.1)*1.11)*1.05)+800</f>
        <v>5146</v>
      </c>
      <c r="M76" s="12">
        <f>(((4539+4539*0.1)*1.11)*1.05)+800</f>
        <v>6619</v>
      </c>
      <c r="N76" s="12">
        <f>(((5270+5270*0.1)*1.11)*1.05)+800</f>
        <v>7556</v>
      </c>
      <c r="O76" s="12">
        <f>(((5712+5712*0.1)*1.11)*1.05)+800</f>
        <v>8123</v>
      </c>
      <c r="P76" s="12">
        <f>(((6629+6629*0.1)*1.11)*1.05)+800</f>
        <v>9299</v>
      </c>
      <c r="Q76" s="8"/>
      <c r="R76" s="7"/>
    </row>
    <row r="77" spans="1:18" s="2" customFormat="1" ht="18.75" x14ac:dyDescent="0.25">
      <c r="A77" s="18" t="s">
        <v>75</v>
      </c>
      <c r="B77" s="11">
        <v>1759</v>
      </c>
      <c r="C77" s="11">
        <v>1822</v>
      </c>
      <c r="D77" s="11">
        <v>1885</v>
      </c>
      <c r="E77" s="11">
        <v>2074</v>
      </c>
      <c r="F77" s="11">
        <v>2137</v>
      </c>
      <c r="G77" s="11">
        <v>2324</v>
      </c>
      <c r="H77" s="11">
        <v>2387</v>
      </c>
      <c r="I77" s="11">
        <v>2702</v>
      </c>
      <c r="J77" s="11">
        <v>2890</v>
      </c>
      <c r="K77" s="11">
        <v>3141</v>
      </c>
      <c r="L77" s="11">
        <v>3330</v>
      </c>
      <c r="M77" s="11">
        <f>((3201+3201*0.1)*1.11)*1.05</f>
        <v>4104</v>
      </c>
      <c r="N77" s="11">
        <f>((3691+3691*0.1)*1.11)*1.05</f>
        <v>4732</v>
      </c>
      <c r="O77" s="11">
        <f>((4698+4698*0.1)*1.11)*1.05</f>
        <v>6023</v>
      </c>
      <c r="P77" s="11">
        <f>((5096+5096*0.1)*1.11)*1.05</f>
        <v>6533</v>
      </c>
      <c r="Q77" s="8"/>
      <c r="R77" s="7"/>
    </row>
    <row r="78" spans="1:18" s="2" customFormat="1" ht="18.75" x14ac:dyDescent="0.25">
      <c r="A78" s="19" t="s">
        <v>86</v>
      </c>
      <c r="B78" s="12">
        <v>2559</v>
      </c>
      <c r="C78" s="12">
        <v>2622</v>
      </c>
      <c r="D78" s="12">
        <v>2685</v>
      </c>
      <c r="E78" s="12">
        <v>2874</v>
      </c>
      <c r="F78" s="12">
        <v>2937</v>
      </c>
      <c r="G78" s="12">
        <v>3124</v>
      </c>
      <c r="H78" s="12">
        <v>3187</v>
      </c>
      <c r="I78" s="12">
        <v>3502</v>
      </c>
      <c r="J78" s="12">
        <v>3690</v>
      </c>
      <c r="K78" s="12">
        <v>3941</v>
      </c>
      <c r="L78" s="12">
        <v>4130</v>
      </c>
      <c r="M78" s="12">
        <f>(((3201+3201*0.1)*1.11)*1.05)+800</f>
        <v>4904</v>
      </c>
      <c r="N78" s="12">
        <f>(((3691+3691*0.1)*1.11)*1.05)+800</f>
        <v>5532</v>
      </c>
      <c r="O78" s="12">
        <f>(((4698+4698*0.1)*1.11)*1.05)+800</f>
        <v>6823</v>
      </c>
      <c r="P78" s="12">
        <f>(((5096+5096*0.1)*1.11)*1.05)+800</f>
        <v>7333</v>
      </c>
      <c r="Q78" s="8"/>
      <c r="R78" s="7"/>
    </row>
    <row r="79" spans="1:18" s="2" customFormat="1" ht="18.75" x14ac:dyDescent="0.25">
      <c r="A79" s="18" t="s">
        <v>76</v>
      </c>
      <c r="B79" s="11">
        <v>1895</v>
      </c>
      <c r="C79" s="11">
        <v>1964</v>
      </c>
      <c r="D79" s="11">
        <v>2032</v>
      </c>
      <c r="E79" s="11">
        <v>2234</v>
      </c>
      <c r="F79" s="11">
        <v>2302</v>
      </c>
      <c r="G79" s="11">
        <v>2506</v>
      </c>
      <c r="H79" s="11">
        <v>2574</v>
      </c>
      <c r="I79" s="11">
        <v>2912</v>
      </c>
      <c r="J79" s="11">
        <v>3115</v>
      </c>
      <c r="K79" s="11">
        <v>3386</v>
      </c>
      <c r="L79" s="11">
        <v>3589</v>
      </c>
      <c r="M79" s="11">
        <f>((3705+3705*0.1)*1.11)*1.05</f>
        <v>4750</v>
      </c>
      <c r="N79" s="11">
        <f>((4419+4419*0.1)*1.11)*1.05</f>
        <v>5665</v>
      </c>
      <c r="O79" s="11">
        <f>((5106+5106*0.1)*1.11)*1.05</f>
        <v>6546</v>
      </c>
      <c r="P79" s="11">
        <f>((6203+6203*0.1)*1.11)*1.05</f>
        <v>7953</v>
      </c>
      <c r="Q79" s="8"/>
      <c r="R79" s="7"/>
    </row>
    <row r="80" spans="1:18" s="2" customFormat="1" ht="18.75" hidden="1" x14ac:dyDescent="0.25">
      <c r="A80" s="18"/>
      <c r="B80" s="11">
        <v>1895</v>
      </c>
      <c r="C80" s="11">
        <v>1964</v>
      </c>
      <c r="D80" s="11">
        <v>2032</v>
      </c>
      <c r="E80" s="11">
        <v>2234</v>
      </c>
      <c r="F80" s="11">
        <v>2302</v>
      </c>
      <c r="G80" s="11">
        <v>2506</v>
      </c>
      <c r="H80" s="11">
        <v>2574</v>
      </c>
      <c r="I80" s="11">
        <v>2912</v>
      </c>
      <c r="J80" s="11">
        <v>3115</v>
      </c>
      <c r="K80" s="11">
        <v>3386</v>
      </c>
      <c r="L80" s="11">
        <v>3589</v>
      </c>
      <c r="M80" s="11">
        <f t="shared" ref="M80" si="13">((3705+3705*0.1)*1.11)*1.05</f>
        <v>4750</v>
      </c>
      <c r="N80" s="11">
        <f t="shared" ref="N80" si="14">((4419+4419*0.1)*1.11)*1.05</f>
        <v>5665</v>
      </c>
      <c r="O80" s="11">
        <f t="shared" ref="O80" si="15">((5106+5106*0.1)*1.11)*1.05</f>
        <v>6546</v>
      </c>
      <c r="P80" s="11">
        <f t="shared" ref="P80" si="16">((6203+6203*0.1)*1.11)*1.05</f>
        <v>7953</v>
      </c>
      <c r="Q80" s="8"/>
      <c r="R80" s="7"/>
    </row>
    <row r="81" spans="1:18" s="2" customFormat="1" ht="18.75" x14ac:dyDescent="0.25">
      <c r="A81" s="19" t="s">
        <v>87</v>
      </c>
      <c r="B81" s="12">
        <v>2695</v>
      </c>
      <c r="C81" s="12">
        <v>2764</v>
      </c>
      <c r="D81" s="12">
        <v>2832</v>
      </c>
      <c r="E81" s="12">
        <v>3034</v>
      </c>
      <c r="F81" s="12">
        <v>3102</v>
      </c>
      <c r="G81" s="12">
        <v>3306</v>
      </c>
      <c r="H81" s="12">
        <v>3374</v>
      </c>
      <c r="I81" s="12">
        <v>3712</v>
      </c>
      <c r="J81" s="12">
        <v>3915</v>
      </c>
      <c r="K81" s="12">
        <v>4186</v>
      </c>
      <c r="L81" s="12">
        <v>4389</v>
      </c>
      <c r="M81" s="12">
        <f>(((3705+3705*0.1)*1.11)*1.05)+800</f>
        <v>5550</v>
      </c>
      <c r="N81" s="12">
        <f>(((4419+4419*0.1)*1.11)*1.05)+800</f>
        <v>6465</v>
      </c>
      <c r="O81" s="12">
        <f>(((5106+5106*0.1)*1.11)*1.05)+800</f>
        <v>7346</v>
      </c>
      <c r="P81" s="12">
        <f>(((6203+6203*0.1)*1.11)*1.05)+800</f>
        <v>8753</v>
      </c>
      <c r="Q81" s="8"/>
      <c r="R81" s="7"/>
    </row>
    <row r="82" spans="1:18" s="2" customFormat="1" ht="18.75" x14ac:dyDescent="0.25">
      <c r="A82" s="18" t="s">
        <v>77</v>
      </c>
      <c r="B82" s="11">
        <v>2260</v>
      </c>
      <c r="C82" s="11">
        <v>2339</v>
      </c>
      <c r="D82" s="11">
        <v>2419</v>
      </c>
      <c r="E82" s="11">
        <v>2662</v>
      </c>
      <c r="F82" s="11">
        <v>2743</v>
      </c>
      <c r="G82" s="11">
        <v>2984</v>
      </c>
      <c r="H82" s="11">
        <v>3065</v>
      </c>
      <c r="I82" s="11">
        <v>3468</v>
      </c>
      <c r="J82" s="11">
        <v>3710</v>
      </c>
      <c r="K82" s="11">
        <v>4033</v>
      </c>
      <c r="L82" s="11">
        <f>((3970+3970*0.1)*1.11)*1.05</f>
        <v>5090</v>
      </c>
      <c r="M82" s="11">
        <f>((5393+5393*0.1)*1.11)*1.05</f>
        <v>6914</v>
      </c>
      <c r="N82" s="11">
        <f>((6917+6917*0.1)*1.11)*1.05</f>
        <v>8868</v>
      </c>
      <c r="O82" s="11">
        <f>((7013+7013*0.1)*1.11)*1.05</f>
        <v>8991</v>
      </c>
      <c r="P82" s="11">
        <f>((8217+8217*0.1)*1.11)*1.05</f>
        <v>10535</v>
      </c>
      <c r="Q82" s="8"/>
      <c r="R82" s="7"/>
    </row>
    <row r="83" spans="1:18" s="2" customFormat="1" ht="18.75" x14ac:dyDescent="0.25">
      <c r="A83" s="19" t="s">
        <v>88</v>
      </c>
      <c r="B83" s="12">
        <v>3060</v>
      </c>
      <c r="C83" s="12">
        <v>3139</v>
      </c>
      <c r="D83" s="12">
        <v>3219</v>
      </c>
      <c r="E83" s="12">
        <v>3462</v>
      </c>
      <c r="F83" s="12">
        <v>3543</v>
      </c>
      <c r="G83" s="12">
        <v>3784</v>
      </c>
      <c r="H83" s="12">
        <v>3865</v>
      </c>
      <c r="I83" s="12">
        <v>4268</v>
      </c>
      <c r="J83" s="12">
        <v>4510</v>
      </c>
      <c r="K83" s="12">
        <v>4833</v>
      </c>
      <c r="L83" s="12">
        <f>(((3970+3970*0.1)*1.11)*1.05)+800</f>
        <v>5890</v>
      </c>
      <c r="M83" s="12">
        <f>(((5393+5393*0.1)*1.11)*1.05)+800</f>
        <v>7714</v>
      </c>
      <c r="N83" s="12">
        <f>(((6917+6917*0.1)*1.11)*1.05)+800</f>
        <v>9668</v>
      </c>
      <c r="O83" s="12">
        <f>(((7013+7013*0.1)*1.11)*1.05)+800</f>
        <v>9791</v>
      </c>
      <c r="P83" s="12">
        <f>(((8217+8217*0.1)*1.11)*1.05)+800</f>
        <v>11335</v>
      </c>
      <c r="Q83" s="8"/>
      <c r="R83" s="7"/>
    </row>
    <row r="84" spans="1:18" s="2" customFormat="1" ht="18.75" x14ac:dyDescent="0.25">
      <c r="A84" s="18" t="s">
        <v>78</v>
      </c>
      <c r="B84" s="11">
        <v>2447</v>
      </c>
      <c r="C84" s="11">
        <v>2534</v>
      </c>
      <c r="D84" s="11">
        <v>2621</v>
      </c>
      <c r="E84" s="11">
        <v>2882</v>
      </c>
      <c r="F84" s="11">
        <v>2969</v>
      </c>
      <c r="G84" s="11">
        <v>3232</v>
      </c>
      <c r="H84" s="11">
        <v>3319</v>
      </c>
      <c r="I84" s="11">
        <v>3757</v>
      </c>
      <c r="J84" s="11">
        <v>4018</v>
      </c>
      <c r="K84" s="11">
        <v>4368</v>
      </c>
      <c r="L84" s="11">
        <f>((4429+4429*0.1)*1.11)*1.05</f>
        <v>5678</v>
      </c>
      <c r="M84" s="11">
        <f>((6136+6136*0.1)*1.11)*1.05</f>
        <v>7867</v>
      </c>
      <c r="N84" s="11">
        <f>((8172+8172*0.1)*1.11)*1.05</f>
        <v>10477</v>
      </c>
      <c r="O84" s="11">
        <f>((8256+8256*0.1)*1.11)*1.05</f>
        <v>10585</v>
      </c>
      <c r="P84" s="11">
        <f>((8985+8985*0.1)*1.11)*1.05</f>
        <v>11519</v>
      </c>
      <c r="Q84" s="8"/>
      <c r="R84" s="7"/>
    </row>
    <row r="85" spans="1:18" s="2" customFormat="1" ht="18.75" hidden="1" x14ac:dyDescent="0.25">
      <c r="A85" s="18"/>
      <c r="B85" s="11">
        <v>2447</v>
      </c>
      <c r="C85" s="11">
        <v>2534</v>
      </c>
      <c r="D85" s="11">
        <v>2621</v>
      </c>
      <c r="E85" s="11">
        <v>2882</v>
      </c>
      <c r="F85" s="11">
        <v>2969</v>
      </c>
      <c r="G85" s="11">
        <v>3232</v>
      </c>
      <c r="H85" s="11">
        <v>3319</v>
      </c>
      <c r="I85" s="11">
        <v>3757</v>
      </c>
      <c r="J85" s="11">
        <v>4018</v>
      </c>
      <c r="K85" s="11">
        <v>4368</v>
      </c>
      <c r="L85" s="11">
        <f t="shared" ref="L85" si="17">((4429+4429*0.1)*1.11)*1.05</f>
        <v>5678</v>
      </c>
      <c r="M85" s="11">
        <f t="shared" ref="M85" si="18">((6136+6136*0.1)*1.11)*1.05</f>
        <v>7867</v>
      </c>
      <c r="N85" s="11">
        <f t="shared" ref="N85" si="19">((8172+8172*0.1)*1.11)*1.05</f>
        <v>10477</v>
      </c>
      <c r="O85" s="11">
        <f t="shared" ref="O85" si="20">((8256+8256*0.1)*1.11)*1.05</f>
        <v>10585</v>
      </c>
      <c r="P85" s="11">
        <f t="shared" ref="P85" si="21">((8985+8985*0.1)*1.11)*1.05</f>
        <v>11519</v>
      </c>
      <c r="Q85" s="8"/>
      <c r="R85" s="7"/>
    </row>
    <row r="86" spans="1:18" s="2" customFormat="1" ht="18.75" x14ac:dyDescent="0.25">
      <c r="A86" s="19" t="s">
        <v>89</v>
      </c>
      <c r="B86" s="12">
        <v>3247</v>
      </c>
      <c r="C86" s="12">
        <v>3334</v>
      </c>
      <c r="D86" s="12">
        <v>3421</v>
      </c>
      <c r="E86" s="12">
        <v>3682</v>
      </c>
      <c r="F86" s="12">
        <v>3769</v>
      </c>
      <c r="G86" s="12">
        <v>4032</v>
      </c>
      <c r="H86" s="12">
        <v>4119</v>
      </c>
      <c r="I86" s="12">
        <v>4557</v>
      </c>
      <c r="J86" s="12">
        <v>4818</v>
      </c>
      <c r="K86" s="12">
        <v>5168</v>
      </c>
      <c r="L86" s="12">
        <f>(((4429+4429*0.1)*1.11)*1.05)+800</f>
        <v>6478</v>
      </c>
      <c r="M86" s="12">
        <f>(((6136+6136*0.1)*1.11)*1.05)+800</f>
        <v>8667</v>
      </c>
      <c r="N86" s="12">
        <f>(((8172+8172*0.1)*1.11)*1.05)+800</f>
        <v>11277</v>
      </c>
      <c r="O86" s="12">
        <f>(((8256+8256*0.1)*1.11)*1.05)+800</f>
        <v>11385</v>
      </c>
      <c r="P86" s="12">
        <f>(((8985+8985*0.1)*1.11)*1.05)+800</f>
        <v>12319</v>
      </c>
      <c r="Q86" s="8"/>
      <c r="R86" s="7"/>
    </row>
    <row r="87" spans="1:18" s="2" customFormat="1" ht="18.75" x14ac:dyDescent="0.25">
      <c r="A87" s="18" t="s">
        <v>85</v>
      </c>
      <c r="B87" s="11">
        <v>2232</v>
      </c>
      <c r="C87" s="11">
        <v>2313</v>
      </c>
      <c r="D87" s="11">
        <v>2394</v>
      </c>
      <c r="E87" s="11">
        <v>2632</v>
      </c>
      <c r="F87" s="11">
        <v>2712</v>
      </c>
      <c r="G87" s="11">
        <v>2953</v>
      </c>
      <c r="H87" s="11">
        <v>3031</v>
      </c>
      <c r="I87" s="11">
        <v>3430</v>
      </c>
      <c r="J87" s="11">
        <v>3670</v>
      </c>
      <c r="K87" s="11">
        <v>3990</v>
      </c>
      <c r="L87" s="11">
        <v>4228</v>
      </c>
      <c r="M87" s="11">
        <f>((4300+4300*0.1)*1.11)*1.05</f>
        <v>5513</v>
      </c>
      <c r="N87" s="11">
        <f>((6079+6079*0.1)*1.11)*1.05</f>
        <v>7794</v>
      </c>
      <c r="O87" s="11">
        <f>((6161+6161*0.1)*1.11)*1.05</f>
        <v>7899</v>
      </c>
      <c r="P87" s="11">
        <f>((7761+7761*0.1)*1.11)*1.05</f>
        <v>9950</v>
      </c>
      <c r="Q87" s="8"/>
      <c r="R87" s="7"/>
    </row>
    <row r="88" spans="1:18" s="2" customFormat="1" ht="18.75" x14ac:dyDescent="0.25">
      <c r="A88" s="19" t="s">
        <v>90</v>
      </c>
      <c r="B88" s="12">
        <v>3032</v>
      </c>
      <c r="C88" s="12">
        <v>3113</v>
      </c>
      <c r="D88" s="12">
        <v>3194</v>
      </c>
      <c r="E88" s="12">
        <v>3432</v>
      </c>
      <c r="F88" s="12">
        <v>3512</v>
      </c>
      <c r="G88" s="12">
        <v>3753</v>
      </c>
      <c r="H88" s="12">
        <v>3831</v>
      </c>
      <c r="I88" s="12">
        <v>4230</v>
      </c>
      <c r="J88" s="12">
        <v>4470</v>
      </c>
      <c r="K88" s="12">
        <v>4790</v>
      </c>
      <c r="L88" s="12">
        <v>5028</v>
      </c>
      <c r="M88" s="12">
        <f>(((4300+4300*0.1)*1.11)*1.05)+800</f>
        <v>6313</v>
      </c>
      <c r="N88" s="12">
        <f>(((6079+6079*0.1)*1.11)*1.05)+800</f>
        <v>8594</v>
      </c>
      <c r="O88" s="12">
        <f>(((6161+6161*0.1)*1.11)*1.05)+800</f>
        <v>8699</v>
      </c>
      <c r="P88" s="12">
        <f>(((7761+7761*0.1)*1.11)*1.05)+800</f>
        <v>10750</v>
      </c>
      <c r="Q88" s="8"/>
      <c r="R88" s="7"/>
    </row>
    <row r="89" spans="1:18" s="2" customFormat="1" ht="18.75" x14ac:dyDescent="0.25">
      <c r="A89" s="18" t="s">
        <v>91</v>
      </c>
      <c r="B89" s="11">
        <v>2422</v>
      </c>
      <c r="C89" s="11">
        <v>2508</v>
      </c>
      <c r="D89" s="11">
        <v>2595</v>
      </c>
      <c r="E89" s="11">
        <v>2854</v>
      </c>
      <c r="F89" s="11">
        <v>2941</v>
      </c>
      <c r="G89" s="11">
        <v>3199</v>
      </c>
      <c r="H89" s="11">
        <v>3287</v>
      </c>
      <c r="I89" s="11">
        <v>3719</v>
      </c>
      <c r="J89" s="11">
        <v>3977</v>
      </c>
      <c r="K89" s="11">
        <v>4324</v>
      </c>
      <c r="L89" s="11">
        <v>4584</v>
      </c>
      <c r="M89" s="11">
        <f>((5578+5578*0.1)*1.11)*1.05</f>
        <v>7151</v>
      </c>
      <c r="N89" s="11">
        <f>((7332+7332*0.1)*1.11)*1.05</f>
        <v>9400</v>
      </c>
      <c r="O89" s="11">
        <f>((7360+7360*0.1)*1.11)*1.05</f>
        <v>9436</v>
      </c>
      <c r="P89" s="11">
        <f>((8712+8712*0.1)*1.11)*1.05</f>
        <v>11169</v>
      </c>
      <c r="Q89" s="8"/>
      <c r="R89" s="7"/>
    </row>
    <row r="90" spans="1:18" s="2" customFormat="1" ht="18.75" x14ac:dyDescent="0.25">
      <c r="A90" s="19" t="s">
        <v>92</v>
      </c>
      <c r="B90" s="12">
        <v>3222</v>
      </c>
      <c r="C90" s="12">
        <v>3308</v>
      </c>
      <c r="D90" s="12">
        <v>3395</v>
      </c>
      <c r="E90" s="12">
        <v>3654</v>
      </c>
      <c r="F90" s="12">
        <v>3741</v>
      </c>
      <c r="G90" s="12">
        <v>3999</v>
      </c>
      <c r="H90" s="12">
        <v>4087</v>
      </c>
      <c r="I90" s="12">
        <v>4519</v>
      </c>
      <c r="J90" s="12">
        <v>4777</v>
      </c>
      <c r="K90" s="12">
        <v>5124</v>
      </c>
      <c r="L90" s="12">
        <v>5384</v>
      </c>
      <c r="M90" s="12">
        <f>(((5578+5578*0.1)*1.11)*1.05)+800</f>
        <v>7951</v>
      </c>
      <c r="N90" s="12">
        <f>(((7332+7332*0.1)*1.11)*1.05)+800</f>
        <v>10200</v>
      </c>
      <c r="O90" s="12">
        <f>(((7360+7360*0.1)*1.11)*1.05)+800</f>
        <v>10236</v>
      </c>
      <c r="P90" s="12">
        <f>(((8712+8712*0.1)*1.11)*1.05)+800</f>
        <v>11969</v>
      </c>
      <c r="Q90" s="8"/>
      <c r="R90" s="7"/>
    </row>
    <row r="91" spans="1:18" s="2" customFormat="1" ht="18.75" x14ac:dyDescent="0.25">
      <c r="A91" s="18" t="s">
        <v>93</v>
      </c>
      <c r="B91" s="11">
        <v>1486</v>
      </c>
      <c r="C91" s="11">
        <v>1539</v>
      </c>
      <c r="D91" s="11">
        <v>1593</v>
      </c>
      <c r="E91" s="11">
        <v>1751</v>
      </c>
      <c r="F91" s="11">
        <v>1805</v>
      </c>
      <c r="G91" s="11">
        <v>1964</v>
      </c>
      <c r="H91" s="11">
        <v>2017</v>
      </c>
      <c r="I91" s="11">
        <v>2283</v>
      </c>
      <c r="J91" s="11">
        <v>2441</v>
      </c>
      <c r="K91" s="11">
        <v>2655</v>
      </c>
      <c r="L91" s="11">
        <f>((2400+2400*0.1)*1.11)*1.05</f>
        <v>3077</v>
      </c>
      <c r="M91" s="11">
        <f>((3109+3109*0.1)*1.11)*1.05</f>
        <v>3986</v>
      </c>
      <c r="N91" s="11">
        <f>((3423+3423*0.1)*1.11)*1.05</f>
        <v>4388</v>
      </c>
      <c r="O91" s="11">
        <f>((3546+3546*0.1)*1.11)*1.05</f>
        <v>4546</v>
      </c>
      <c r="P91" s="11">
        <f>((3666+3666*0.1)*1.11)*1.05</f>
        <v>4700</v>
      </c>
      <c r="Q91" s="8"/>
      <c r="R91" s="7"/>
    </row>
    <row r="92" spans="1:18" s="2" customFormat="1" ht="18.75" x14ac:dyDescent="0.25">
      <c r="A92" s="19" t="s">
        <v>94</v>
      </c>
      <c r="B92" s="12">
        <v>1579</v>
      </c>
      <c r="C92" s="12">
        <v>1636</v>
      </c>
      <c r="D92" s="12">
        <v>1693</v>
      </c>
      <c r="E92" s="12">
        <v>1862</v>
      </c>
      <c r="F92" s="12">
        <v>1918</v>
      </c>
      <c r="G92" s="12">
        <v>2087</v>
      </c>
      <c r="H92" s="12">
        <v>2143</v>
      </c>
      <c r="I92" s="12">
        <v>2426</v>
      </c>
      <c r="J92" s="12">
        <v>2595</v>
      </c>
      <c r="K92" s="12">
        <v>2820</v>
      </c>
      <c r="L92" s="12">
        <f>((2638+2638*0.1)*1.11)*1.05</f>
        <v>3382</v>
      </c>
      <c r="M92" s="12">
        <f>((3380+3380*0.1)*1.11)*1.05</f>
        <v>4333</v>
      </c>
      <c r="N92" s="12">
        <f>((3832+3832*0.1)*1.11)*1.05</f>
        <v>4913</v>
      </c>
      <c r="O92" s="12">
        <f>((3929+3929*0.1)*1.11)*1.05</f>
        <v>5037</v>
      </c>
      <c r="P92" s="12">
        <f>((4909+4909*0.1)*1.11)*1.05</f>
        <v>6294</v>
      </c>
      <c r="Q92" s="8"/>
      <c r="R92" s="7"/>
    </row>
    <row r="93" spans="1:18" s="2" customFormat="1" ht="18.75" hidden="1" x14ac:dyDescent="0.25">
      <c r="A93" s="18"/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8"/>
      <c r="R93" s="7"/>
    </row>
    <row r="94" spans="1:18" s="2" customFormat="1" ht="18.75" x14ac:dyDescent="0.25">
      <c r="A94" s="18" t="s">
        <v>95</v>
      </c>
      <c r="B94" s="11">
        <v>1467</v>
      </c>
      <c r="C94" s="11">
        <v>1519</v>
      </c>
      <c r="D94" s="11">
        <v>1572</v>
      </c>
      <c r="E94" s="11">
        <v>1728</v>
      </c>
      <c r="F94" s="11">
        <v>1781</v>
      </c>
      <c r="G94" s="11">
        <v>1938</v>
      </c>
      <c r="H94" s="11">
        <v>1991</v>
      </c>
      <c r="I94" s="11">
        <v>2253</v>
      </c>
      <c r="J94" s="11">
        <v>2410</v>
      </c>
      <c r="K94" s="11">
        <v>2620</v>
      </c>
      <c r="L94" s="11">
        <v>2776</v>
      </c>
      <c r="M94" s="11">
        <v>2986</v>
      </c>
      <c r="N94" s="11">
        <v>3458</v>
      </c>
      <c r="O94" s="11">
        <v>4034</v>
      </c>
      <c r="P94" s="11">
        <v>4506</v>
      </c>
      <c r="Q94" s="8"/>
      <c r="R94" s="7"/>
    </row>
    <row r="95" spans="1:18" s="2" customFormat="1" ht="18.75" x14ac:dyDescent="0.25">
      <c r="A95" s="19" t="s">
        <v>96</v>
      </c>
      <c r="B95" s="12">
        <v>1557</v>
      </c>
      <c r="C95" s="12">
        <v>1614</v>
      </c>
      <c r="D95" s="12">
        <v>1671</v>
      </c>
      <c r="E95" s="12">
        <v>1836</v>
      </c>
      <c r="F95" s="12">
        <v>1893</v>
      </c>
      <c r="G95" s="12">
        <v>2059</v>
      </c>
      <c r="H95" s="12">
        <v>2116</v>
      </c>
      <c r="I95" s="12">
        <v>2393</v>
      </c>
      <c r="J95" s="12">
        <v>2561</v>
      </c>
      <c r="K95" s="12">
        <v>2784</v>
      </c>
      <c r="L95" s="12">
        <v>2949</v>
      </c>
      <c r="M95" s="12">
        <v>3489</v>
      </c>
      <c r="N95" s="12">
        <v>4041</v>
      </c>
      <c r="O95" s="12">
        <v>4713</v>
      </c>
      <c r="P95" s="12">
        <v>5266</v>
      </c>
      <c r="Q95" s="8"/>
      <c r="R95" s="7"/>
    </row>
    <row r="96" spans="1:18" s="3" customFormat="1" ht="18.75" hidden="1" x14ac:dyDescent="0.25">
      <c r="A96" s="18"/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9"/>
      <c r="R96" s="10"/>
    </row>
    <row r="97" spans="1:18" s="3" customFormat="1" ht="18.75" x14ac:dyDescent="0.25">
      <c r="A97" s="18" t="s">
        <v>97</v>
      </c>
      <c r="B97" s="11">
        <v>880</v>
      </c>
      <c r="C97" s="11">
        <v>911</v>
      </c>
      <c r="D97" s="11">
        <v>943</v>
      </c>
      <c r="E97" s="11">
        <v>1036</v>
      </c>
      <c r="F97" s="11">
        <v>1068</v>
      </c>
      <c r="G97" s="11">
        <v>1162</v>
      </c>
      <c r="H97" s="11">
        <v>1194</v>
      </c>
      <c r="I97" s="11">
        <v>1350</v>
      </c>
      <c r="J97" s="11">
        <v>1445</v>
      </c>
      <c r="K97" s="11">
        <v>1571</v>
      </c>
      <c r="L97" s="11">
        <v>1664</v>
      </c>
      <c r="M97" s="11">
        <v>1790</v>
      </c>
      <c r="N97" s="11">
        <v>2282</v>
      </c>
      <c r="O97" s="11">
        <f>(((3059+3059*0.1)*1.11)*1.1)*1.05</f>
        <v>4314</v>
      </c>
      <c r="P97" s="11">
        <f>(((3554+3554*0.1)*1.11)*1.1)*1.05</f>
        <v>5012</v>
      </c>
      <c r="Q97" s="9"/>
      <c r="R97" s="7"/>
    </row>
    <row r="98" spans="1:18" s="3" customFormat="1" ht="18.75" x14ac:dyDescent="0.25">
      <c r="A98" s="19" t="s">
        <v>98</v>
      </c>
      <c r="B98" s="12">
        <v>942</v>
      </c>
      <c r="C98" s="12">
        <v>975</v>
      </c>
      <c r="D98" s="12">
        <v>1009</v>
      </c>
      <c r="E98" s="12">
        <v>1110</v>
      </c>
      <c r="F98" s="12">
        <v>1143</v>
      </c>
      <c r="G98" s="12">
        <v>1243</v>
      </c>
      <c r="H98" s="12">
        <v>1278</v>
      </c>
      <c r="I98" s="12">
        <v>1447</v>
      </c>
      <c r="J98" s="12">
        <v>1547</v>
      </c>
      <c r="K98" s="12">
        <v>1682</v>
      </c>
      <c r="L98" s="12">
        <v>1782</v>
      </c>
      <c r="M98" s="12">
        <v>1916</v>
      </c>
      <c r="N98" s="12">
        <f>((2048+2048*0.1)*1.11)*1.05</f>
        <v>2626</v>
      </c>
      <c r="O98" s="12">
        <f>((4176+4176*0.1)*1.11)*1.05</f>
        <v>5354</v>
      </c>
      <c r="P98" s="12">
        <f>((4811+4811*0.1)*1.11)*1.05</f>
        <v>6168</v>
      </c>
      <c r="Q98" s="9"/>
      <c r="R98" s="7"/>
    </row>
    <row r="99" spans="1:18" s="3" customFormat="1" ht="18.75" hidden="1" x14ac:dyDescent="0.25">
      <c r="A99" s="18"/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9"/>
      <c r="R99" s="10"/>
    </row>
    <row r="100" spans="1:18" s="3" customFormat="1" ht="18.75" x14ac:dyDescent="0.25">
      <c r="A100" s="18" t="s">
        <v>99</v>
      </c>
      <c r="B100" s="11">
        <v>862</v>
      </c>
      <c r="C100" s="11">
        <v>894</v>
      </c>
      <c r="D100" s="11">
        <v>925</v>
      </c>
      <c r="E100" s="11">
        <v>1017</v>
      </c>
      <c r="F100" s="11">
        <v>1048</v>
      </c>
      <c r="G100" s="11">
        <v>1141</v>
      </c>
      <c r="H100" s="11">
        <v>1172</v>
      </c>
      <c r="I100" s="11">
        <v>1325</v>
      </c>
      <c r="J100" s="11">
        <v>1419</v>
      </c>
      <c r="K100" s="11">
        <v>1542</v>
      </c>
      <c r="L100" s="11">
        <v>1634</v>
      </c>
      <c r="M100" s="11">
        <v>1758</v>
      </c>
      <c r="N100" s="11">
        <v>2035</v>
      </c>
      <c r="O100" s="11">
        <f>((1989+1989*0.1)*1.11)*1.05</f>
        <v>2550</v>
      </c>
      <c r="P100" s="11">
        <f>((2362+2362*0.1)*1.11)*1.05</f>
        <v>3028</v>
      </c>
      <c r="Q100" s="9"/>
      <c r="R100" s="7"/>
    </row>
    <row r="101" spans="1:18" s="3" customFormat="1" ht="18.75" x14ac:dyDescent="0.25">
      <c r="A101" s="19" t="s">
        <v>100</v>
      </c>
      <c r="B101" s="12">
        <v>928</v>
      </c>
      <c r="C101" s="12">
        <v>961</v>
      </c>
      <c r="D101" s="12">
        <v>993</v>
      </c>
      <c r="E101" s="12">
        <v>1092</v>
      </c>
      <c r="F101" s="12">
        <v>1126</v>
      </c>
      <c r="G101" s="12">
        <v>1225</v>
      </c>
      <c r="H101" s="12">
        <v>1258</v>
      </c>
      <c r="I101" s="12">
        <v>1423</v>
      </c>
      <c r="J101" s="12">
        <v>1523</v>
      </c>
      <c r="K101" s="12">
        <v>1655</v>
      </c>
      <c r="L101" s="12">
        <v>1755</v>
      </c>
      <c r="M101" s="12">
        <v>1887</v>
      </c>
      <c r="N101" s="12">
        <v>2184</v>
      </c>
      <c r="O101" s="12">
        <f>((2680+2680*0.1)*1.11)*1.05</f>
        <v>3436</v>
      </c>
      <c r="P101" s="12">
        <f>((3191+3191*0.1)*1.11)*1.05</f>
        <v>4091</v>
      </c>
      <c r="Q101" s="9"/>
      <c r="R101" s="7"/>
    </row>
    <row r="102" spans="1:18" s="2" customFormat="1" ht="18.75" hidden="1" x14ac:dyDescent="0.25">
      <c r="A102" s="18"/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8"/>
      <c r="R102" s="7"/>
    </row>
    <row r="103" spans="1:18" s="2" customFormat="1" ht="18.75" x14ac:dyDescent="0.25">
      <c r="A103" s="18" t="s">
        <v>101</v>
      </c>
      <c r="B103" s="11">
        <v>1809</v>
      </c>
      <c r="C103" s="11">
        <v>1873</v>
      </c>
      <c r="D103" s="11">
        <v>1937</v>
      </c>
      <c r="E103" s="11">
        <v>2130</v>
      </c>
      <c r="F103" s="11">
        <v>2196</v>
      </c>
      <c r="G103" s="11">
        <v>2390</v>
      </c>
      <c r="H103" s="11">
        <v>2454</v>
      </c>
      <c r="I103" s="11">
        <v>2776</v>
      </c>
      <c r="J103" s="11">
        <v>2969</v>
      </c>
      <c r="K103" s="11">
        <v>3229</v>
      </c>
      <c r="L103" s="11">
        <v>3422</v>
      </c>
      <c r="M103" s="11">
        <f>((3494+3494*0.1)*1.11)*1.05</f>
        <v>4479</v>
      </c>
      <c r="N103" s="11">
        <f>((4002+4002*0.1)*1.11)*1.05</f>
        <v>5131</v>
      </c>
      <c r="O103" s="11">
        <f>((4049+4049*0.1)*1.11)*1.05</f>
        <v>5191</v>
      </c>
      <c r="P103" s="11">
        <f>((4794+4794*0.1)*1.11)*1.05</f>
        <v>6146</v>
      </c>
      <c r="Q103" s="8"/>
      <c r="R103" s="7"/>
    </row>
    <row r="104" spans="1:18" s="2" customFormat="1" ht="18.75" x14ac:dyDescent="0.25">
      <c r="A104" s="19" t="s">
        <v>102</v>
      </c>
      <c r="B104" s="12">
        <v>1924</v>
      </c>
      <c r="C104" s="12">
        <v>1993</v>
      </c>
      <c r="D104" s="12">
        <v>2062</v>
      </c>
      <c r="E104" s="12">
        <v>2267</v>
      </c>
      <c r="F104" s="12">
        <v>2335</v>
      </c>
      <c r="G104" s="12">
        <v>2542</v>
      </c>
      <c r="H104" s="12">
        <v>2610</v>
      </c>
      <c r="I104" s="12">
        <v>2955</v>
      </c>
      <c r="J104" s="12">
        <v>3161</v>
      </c>
      <c r="K104" s="12">
        <v>3436</v>
      </c>
      <c r="L104" s="12">
        <v>3641</v>
      </c>
      <c r="M104" s="12">
        <f>((3971+3971*0.1)*1.11)*1.05</f>
        <v>5091</v>
      </c>
      <c r="N104" s="12">
        <f>((4686+4686*0.1)*1.11)*1.05</f>
        <v>6008</v>
      </c>
      <c r="O104" s="12">
        <f>((4807+4807*0.1)*1.11)*1.05</f>
        <v>6163</v>
      </c>
      <c r="P104" s="12">
        <f>((5336+5336*0.1)*1.11)*1.05</f>
        <v>6841</v>
      </c>
      <c r="Q104" s="8"/>
      <c r="R104" s="7"/>
    </row>
    <row r="105" spans="1:18" s="2" customFormat="1" ht="18.75" hidden="1" x14ac:dyDescent="0.25">
      <c r="A105" s="18"/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8"/>
      <c r="R105" s="7"/>
    </row>
    <row r="106" spans="1:18" s="2" customFormat="1" ht="18.75" x14ac:dyDescent="0.25">
      <c r="A106" s="18" t="s">
        <v>103</v>
      </c>
      <c r="B106" s="11">
        <v>1759</v>
      </c>
      <c r="C106" s="11">
        <v>1822</v>
      </c>
      <c r="D106" s="11">
        <v>1885</v>
      </c>
      <c r="E106" s="11">
        <v>2074</v>
      </c>
      <c r="F106" s="11">
        <v>2137</v>
      </c>
      <c r="G106" s="11">
        <v>2324</v>
      </c>
      <c r="H106" s="11">
        <v>2387</v>
      </c>
      <c r="I106" s="11">
        <v>2702</v>
      </c>
      <c r="J106" s="11">
        <v>2890</v>
      </c>
      <c r="K106" s="11">
        <v>3141</v>
      </c>
      <c r="L106" s="11">
        <v>3330</v>
      </c>
      <c r="M106" s="11">
        <v>3581</v>
      </c>
      <c r="N106" s="11">
        <v>4145</v>
      </c>
      <c r="O106" s="11">
        <v>4837</v>
      </c>
      <c r="P106" s="11">
        <v>6250</v>
      </c>
      <c r="Q106" s="8"/>
      <c r="R106" s="7"/>
    </row>
    <row r="107" spans="1:18" s="2" customFormat="1" ht="18.75" x14ac:dyDescent="0.25">
      <c r="A107" s="19" t="s">
        <v>104</v>
      </c>
      <c r="B107" s="12">
        <v>1895</v>
      </c>
      <c r="C107" s="12">
        <v>1964</v>
      </c>
      <c r="D107" s="12">
        <v>2032</v>
      </c>
      <c r="E107" s="12">
        <v>2234</v>
      </c>
      <c r="F107" s="12">
        <v>2302</v>
      </c>
      <c r="G107" s="12">
        <v>2506</v>
      </c>
      <c r="H107" s="12">
        <v>2574</v>
      </c>
      <c r="I107" s="12">
        <v>2912</v>
      </c>
      <c r="J107" s="12">
        <v>3115</v>
      </c>
      <c r="K107" s="12">
        <v>3386</v>
      </c>
      <c r="L107" s="12">
        <v>3589</v>
      </c>
      <c r="M107" s="12">
        <v>4246</v>
      </c>
      <c r="N107" s="12">
        <f>((3934+3934*0.1)*1.11)*1.05</f>
        <v>5044</v>
      </c>
      <c r="O107" s="12">
        <f>((4180+4180*0.1)*1.11)*1.05</f>
        <v>5359</v>
      </c>
      <c r="P107" s="12">
        <f>((5062+5062*0.1)*1.11)*1.05</f>
        <v>6490</v>
      </c>
      <c r="Q107" s="8"/>
      <c r="R107" s="7"/>
    </row>
    <row r="108" spans="1:18" s="2" customFormat="1" ht="18.75" hidden="1" x14ac:dyDescent="0.25">
      <c r="A108" s="18"/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8"/>
      <c r="R108" s="7"/>
    </row>
    <row r="109" spans="1:18" s="2" customFormat="1" ht="18.75" x14ac:dyDescent="0.25">
      <c r="A109" s="18" t="s">
        <v>45</v>
      </c>
      <c r="B109" s="11">
        <v>953</v>
      </c>
      <c r="C109" s="11">
        <v>987</v>
      </c>
      <c r="D109" s="11">
        <v>1021</v>
      </c>
      <c r="E109" s="11">
        <v>1125</v>
      </c>
      <c r="F109" s="11">
        <v>1156</v>
      </c>
      <c r="G109" s="11">
        <v>1260</v>
      </c>
      <c r="H109" s="11">
        <v>1295</v>
      </c>
      <c r="I109" s="11">
        <v>1465</v>
      </c>
      <c r="J109" s="11">
        <v>1567</v>
      </c>
      <c r="K109" s="11">
        <v>1702</v>
      </c>
      <c r="L109" s="11">
        <v>1806</v>
      </c>
      <c r="M109" s="11">
        <v>1940</v>
      </c>
      <c r="N109" s="11">
        <v>2141</v>
      </c>
      <c r="O109" s="11">
        <v>2497</v>
      </c>
      <c r="P109" s="11">
        <f>(((2135+2135*0.1)*1.3)*1.1)*1.05</f>
        <v>3526</v>
      </c>
      <c r="Q109" s="8"/>
      <c r="R109" s="7"/>
    </row>
    <row r="110" spans="1:18" s="2" customFormat="1" ht="18.75" hidden="1" x14ac:dyDescent="0.25">
      <c r="A110" s="18"/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8"/>
      <c r="R110" s="7"/>
    </row>
    <row r="111" spans="1:18" s="2" customFormat="1" ht="18.75" x14ac:dyDescent="0.25">
      <c r="A111" s="19" t="s">
        <v>46</v>
      </c>
      <c r="B111" s="12">
        <v>710</v>
      </c>
      <c r="C111" s="12">
        <v>737</v>
      </c>
      <c r="D111" s="12">
        <v>764</v>
      </c>
      <c r="E111" s="12">
        <v>839</v>
      </c>
      <c r="F111" s="12">
        <v>865</v>
      </c>
      <c r="G111" s="12">
        <v>943</v>
      </c>
      <c r="H111" s="12">
        <v>967</v>
      </c>
      <c r="I111" s="12">
        <v>1094</v>
      </c>
      <c r="J111" s="12">
        <v>1171</v>
      </c>
      <c r="K111" s="12">
        <v>1273</v>
      </c>
      <c r="L111" s="12">
        <f>(((1231+1231*0.1)*1.11)*1.05)*1.05</f>
        <v>1657</v>
      </c>
      <c r="M111" s="12">
        <f>((1748+1748*0.1)*1.11)*1.05</f>
        <v>2241</v>
      </c>
      <c r="N111" s="12">
        <f>((1965+1965*0.1)*1.11)*1.05</f>
        <v>2519</v>
      </c>
      <c r="O111" s="12">
        <f>((2935+2935*0.1)*1.11)*1.05</f>
        <v>3763</v>
      </c>
      <c r="P111" s="12">
        <f>((3175+3175*0.1)*1.11)*1.05</f>
        <v>4071</v>
      </c>
      <c r="Q111" s="8"/>
      <c r="R111" s="7"/>
    </row>
    <row r="112" spans="1:18" s="2" customFormat="1" ht="18.75" x14ac:dyDescent="0.25">
      <c r="A112" s="27" t="s">
        <v>44</v>
      </c>
      <c r="B112" s="11">
        <v>781</v>
      </c>
      <c r="C112" s="11">
        <v>809</v>
      </c>
      <c r="D112" s="11">
        <v>836</v>
      </c>
      <c r="E112" s="11">
        <v>920</v>
      </c>
      <c r="F112" s="11">
        <v>947</v>
      </c>
      <c r="G112" s="11">
        <v>1031</v>
      </c>
      <c r="H112" s="11">
        <v>1058</v>
      </c>
      <c r="I112" s="11">
        <v>1197</v>
      </c>
      <c r="J112" s="11">
        <v>1281</v>
      </c>
      <c r="K112" s="11">
        <v>1392</v>
      </c>
      <c r="L112" s="11">
        <f>(((1256+1256*0.1)*1.11)*1.05)*1.05</f>
        <v>1691</v>
      </c>
      <c r="M112" s="11">
        <f>((1761+1761*0.1)*1.11)*1.05</f>
        <v>2258</v>
      </c>
      <c r="N112" s="11">
        <f>((1977+1977*0.1)*1.11)*1.05</f>
        <v>2535</v>
      </c>
      <c r="O112" s="11">
        <f>((2956+2956*0.1)*1.11)*1.05</f>
        <v>3790</v>
      </c>
      <c r="P112" s="11">
        <f>((3198+3198*0.1)*1.11)*1.05</f>
        <v>4100</v>
      </c>
      <c r="Q112" s="8"/>
      <c r="R112" s="7"/>
    </row>
    <row r="113" spans="1:18" s="2" customFormat="1" ht="18.75" hidden="1" x14ac:dyDescent="0.25">
      <c r="A113" s="18"/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8"/>
      <c r="R113" s="7"/>
    </row>
    <row r="114" spans="1:18" s="2" customFormat="1" ht="18.75" x14ac:dyDescent="0.25">
      <c r="A114" s="19" t="s">
        <v>47</v>
      </c>
      <c r="B114" s="12">
        <v>674</v>
      </c>
      <c r="C114" s="12">
        <v>698</v>
      </c>
      <c r="D114" s="12">
        <v>722</v>
      </c>
      <c r="E114" s="12">
        <v>793</v>
      </c>
      <c r="F114" s="12">
        <v>817</v>
      </c>
      <c r="G114" s="12">
        <v>889</v>
      </c>
      <c r="H114" s="12">
        <v>914</v>
      </c>
      <c r="I114" s="12">
        <v>1034</v>
      </c>
      <c r="J114" s="12">
        <v>1106</v>
      </c>
      <c r="K114" s="12">
        <v>1203</v>
      </c>
      <c r="L114" s="12">
        <v>1275</v>
      </c>
      <c r="M114" s="12">
        <f>(((1225+1225*0.1)*1.11)*1.05)*1.05</f>
        <v>1649</v>
      </c>
      <c r="N114" s="12">
        <f>((1450+1450*0.1)*1.11)*1.05</f>
        <v>1859</v>
      </c>
      <c r="O114" s="12">
        <f>((2198+2198*0.1)*1.11)*1.05</f>
        <v>2818</v>
      </c>
      <c r="P114" s="12">
        <f>((2312+2312*0.1)*1.11)*1.05</f>
        <v>2964</v>
      </c>
      <c r="Q114" s="8"/>
      <c r="R114" s="7"/>
    </row>
    <row r="115" spans="1:18" s="2" customFormat="1" ht="19.5" thickBot="1" x14ac:dyDescent="0.3">
      <c r="A115" s="18" t="s">
        <v>48</v>
      </c>
      <c r="B115" s="11">
        <v>740</v>
      </c>
      <c r="C115" s="11">
        <v>767</v>
      </c>
      <c r="D115" s="11">
        <v>793</v>
      </c>
      <c r="E115" s="11">
        <v>873</v>
      </c>
      <c r="F115" s="11">
        <v>899</v>
      </c>
      <c r="G115" s="11">
        <v>978</v>
      </c>
      <c r="H115" s="11">
        <v>1005</v>
      </c>
      <c r="I115" s="11">
        <v>1137</v>
      </c>
      <c r="J115" s="11">
        <v>1216</v>
      </c>
      <c r="K115" s="11">
        <v>1322</v>
      </c>
      <c r="L115" s="11">
        <v>1402</v>
      </c>
      <c r="M115" s="11">
        <f>(((1297+1297*0.1)*1.11)*1.05)*1.05</f>
        <v>1746</v>
      </c>
      <c r="N115" s="11">
        <f>((1456+1456*0.1)*1.11)*1.05</f>
        <v>1867</v>
      </c>
      <c r="O115" s="11">
        <f>((2233+2233*0.1)*1.11)*1.05</f>
        <v>2863</v>
      </c>
      <c r="P115" s="11">
        <f>((2344+2344*0.1)*1.11)*1.05</f>
        <v>3005</v>
      </c>
      <c r="Q115" s="8"/>
      <c r="R115" s="7"/>
    </row>
    <row r="116" spans="1:18" s="2" customFormat="1" ht="18.75" hidden="1" thickBot="1" x14ac:dyDescent="0.3">
      <c r="A116" s="18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6"/>
      <c r="R116" s="7"/>
    </row>
    <row r="117" spans="1:18" s="2" customFormat="1" ht="18.75" hidden="1" thickBot="1" x14ac:dyDescent="0.3">
      <c r="A117" s="22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6"/>
      <c r="R117" s="7"/>
    </row>
    <row r="118" spans="1:18" s="2" customFormat="1" ht="39" customHeight="1" thickBot="1" x14ac:dyDescent="0.3">
      <c r="A118" s="33" t="s">
        <v>105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5"/>
      <c r="Q118" s="6"/>
      <c r="R118" s="7"/>
    </row>
    <row r="119" spans="1:18" s="2" customForma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7"/>
    </row>
    <row r="120" spans="1:18" s="2" customForma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7"/>
    </row>
    <row r="121" spans="1:18" s="2" customForma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7"/>
    </row>
    <row r="122" spans="1:18" s="2" customForma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7"/>
    </row>
    <row r="123" spans="1:18" s="2" customForma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7"/>
    </row>
    <row r="124" spans="1:18" s="2" customForma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7"/>
    </row>
    <row r="125" spans="1:18" s="2" customForma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7"/>
    </row>
    <row r="126" spans="1:18" s="2" customForma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7"/>
    </row>
    <row r="127" spans="1:18" s="2" customForma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7"/>
    </row>
    <row r="128" spans="1:18" s="2" customForma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7"/>
    </row>
    <row r="129" spans="1:18" s="2" customForma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7"/>
    </row>
    <row r="130" spans="1:18" s="2" customForma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7"/>
    </row>
    <row r="131" spans="1:18" s="2" customForma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7"/>
    </row>
    <row r="132" spans="1:18" s="2" customForma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7"/>
    </row>
    <row r="133" spans="1:18" s="2" customForma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7"/>
    </row>
    <row r="134" spans="1:18" s="2" customForma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7"/>
    </row>
    <row r="135" spans="1:18" s="2" customForma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7"/>
    </row>
    <row r="136" spans="1:18" s="2" customForma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7"/>
    </row>
    <row r="137" spans="1:18" s="2" customForma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7"/>
    </row>
    <row r="138" spans="1:18" s="2" customForma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7"/>
    </row>
    <row r="139" spans="1:18" s="2" customForma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7"/>
    </row>
    <row r="140" spans="1:18" s="2" customForma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7"/>
    </row>
    <row r="141" spans="1:18" s="2" customForma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7"/>
    </row>
    <row r="142" spans="1:18" s="2" customForma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7"/>
    </row>
    <row r="143" spans="1:18" s="2" customForma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7"/>
    </row>
    <row r="144" spans="1:18" s="2" customForma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7"/>
    </row>
    <row r="145" spans="1:17" s="2" customForma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5"/>
    </row>
    <row r="146" spans="1:17" s="2" customForma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5"/>
    </row>
    <row r="147" spans="1:17" s="2" customForma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5"/>
    </row>
    <row r="148" spans="1:17" s="2" customForma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5"/>
    </row>
    <row r="149" spans="1:17" s="2" customForma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5"/>
    </row>
    <row r="150" spans="1:17" s="2" customForma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5"/>
    </row>
  </sheetData>
  <mergeCells count="5">
    <mergeCell ref="A118:P118"/>
    <mergeCell ref="A51:P51"/>
    <mergeCell ref="A3:P3"/>
    <mergeCell ref="A1:A2"/>
    <mergeCell ref="B1:P2"/>
  </mergeCells>
  <phoneticPr fontId="0" type="noConversion"/>
  <pageMargins left="0.25" right="0.25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Ventustriy</dc:creator>
  <cp:lastModifiedBy>User</cp:lastModifiedBy>
  <cp:lastPrinted>2022-08-30T07:44:43Z</cp:lastPrinted>
  <dcterms:created xsi:type="dcterms:W3CDTF">2011-03-17T06:43:25Z</dcterms:created>
  <dcterms:modified xsi:type="dcterms:W3CDTF">2024-07-04T14:08:22Z</dcterms:modified>
</cp:coreProperties>
</file>